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Außentemperatur des Ofens" sheetId="1" r:id="rId1"/>
    <sheet name="materialeigenschaften" sheetId="2" r:id="rId2"/>
    <sheet name="Brennholz" sheetId="3" r:id="rId3"/>
  </sheets>
  <definedNames>
    <definedName name="beton_lehke_autokl_2">'materialeigenschaften'!#REF!</definedName>
    <definedName name="beton_lehke_neautokl_2">'materialeigenschaften'!#REF!</definedName>
    <definedName name="cihelne_zdivo_2">'materialeigenschaften'!#REF!</definedName>
    <definedName name="deskove_materialy_2">'materialeigenschaften'!#REF!</definedName>
    <definedName name="drevo_2">'materialeigenschaften'!#REF!</definedName>
    <definedName name="horniny_2">'materialeigenschaften'!#REF!</definedName>
    <definedName name="hydroizolace_2">'materialeigenschaften'!#REF!</definedName>
    <definedName name="hydroizolace_tenke_2">'materialeigenschaften'!#REF!</definedName>
    <definedName name="kovy_2">'materialeigenschaften'!#REF!</definedName>
    <definedName name="malty_2">'materialeigenschaften'!#REF!</definedName>
    <definedName name="naslapne_vrstvy_2">'materialeigenschaften'!#REF!</definedName>
    <definedName name="omitky_2">'materialeigenschaften'!#REF!</definedName>
    <definedName name="omitky_tepiz_2">'materialeigenschaften'!#REF!</definedName>
    <definedName name="plasty_tuhe_nepenene_2">'materialeigenschaften'!#REF!</definedName>
    <definedName name="porotherm_2">'materialeigenschaften'!#REF!</definedName>
    <definedName name="pryz_2">'materialeigenschaften'!#REF!</definedName>
    <definedName name="sklo_2">'materialeigenschaften'!#REF!</definedName>
    <definedName name="skupenstvi_vody_2">'materialeigenschaften'!#REF!</definedName>
    <definedName name="sypke_materialy_2">'materialeigenschaften'!#REF!</definedName>
    <definedName name="tepiz_ostatni_2">'materialeigenschaften'!#REF!</definedName>
    <definedName name="tepiz_penoplast_2">'materialeigenschaften'!#REF!</definedName>
    <definedName name="tepiz_vlaknite_2">'materialeigenschaften'!#REF!</definedName>
    <definedName name="tmely_2">'materialeigenschaften'!#REF!</definedName>
    <definedName name="ytong_2">'materialeigenschaften'!#REF!</definedName>
  </definedNames>
  <calcPr fullCalcOnLoad="1"/>
</workbook>
</file>

<file path=xl/sharedStrings.xml><?xml version="1.0" encoding="utf-8"?>
<sst xmlns="http://schemas.openxmlformats.org/spreadsheetml/2006/main" count="271" uniqueCount="243">
  <si>
    <t>Tabelle 2 - Berechnung der Außentemperatur des Steinofens</t>
  </si>
  <si>
    <t>Tabelle 4 - Heizleistung des Ofens ohne Ummantellung</t>
  </si>
  <si>
    <r>
      <t xml:space="preserve"> </t>
    </r>
    <r>
      <rPr>
        <b/>
        <sz val="10"/>
        <color indexed="10"/>
        <rFont val="Arial"/>
        <family val="2"/>
      </rPr>
      <t>Tabelle 2a - Steinofen ohne Ummantelung</t>
    </r>
  </si>
  <si>
    <t>Tabelle 4a - Ohne Heizröhre</t>
  </si>
  <si>
    <t>Gebrauchte Formel</t>
  </si>
  <si>
    <t>Kleinöfen</t>
  </si>
  <si>
    <t>Leichte Öfen</t>
  </si>
  <si>
    <t>Mittelschwere Öfen</t>
  </si>
  <si>
    <t>Schwere Öfen</t>
  </si>
  <si>
    <t>bis 3 m2 oder Wärmebedarf 2,10 Kw</t>
  </si>
  <si>
    <t>bis 5 m2 oder Wärmebedarf bis 3,5 kW</t>
  </si>
  <si>
    <t>bis 10 m2 oder Wärmebedarf bis 9,3 kW</t>
  </si>
  <si>
    <t>bis 15 m2 oder Wärmebedarf bis 14 kW</t>
  </si>
  <si>
    <t>bis 20 m2 oder Wärmebedarf bis 19 kW</t>
  </si>
  <si>
    <t>Material</t>
  </si>
  <si>
    <t xml:space="preserve">Wanddicke </t>
  </si>
  <si>
    <t>Leitfähigkeit</t>
  </si>
  <si>
    <t>Widerstand gegen Wärmeübertragung</t>
  </si>
  <si>
    <t>Wärmeübergangszahl</t>
  </si>
  <si>
    <t>Leistung durch Strahlung und Strömung ohne Heizröhre</t>
  </si>
  <si>
    <t>Berechnung der Wärmeleistung</t>
  </si>
  <si>
    <t>Ohne Mantl: Strahlen und Strömen</t>
  </si>
  <si>
    <t>Wärmebedarf  kW/h *</t>
  </si>
  <si>
    <t>d (lfm)</t>
  </si>
  <si>
    <t>λ (W/mK)</t>
  </si>
  <si>
    <r>
      <t xml:space="preserve"> </t>
    </r>
    <r>
      <rPr>
        <sz val="10"/>
        <rFont val="Arial"/>
        <family val="2"/>
      </rPr>
      <t xml:space="preserve">R (m2K/W)                                                                                                           </t>
    </r>
  </si>
  <si>
    <t>U (W/m2.K)</t>
  </si>
  <si>
    <t>Temperatur der Ofenwand</t>
  </si>
  <si>
    <t>Mit Mantel:</t>
  </si>
  <si>
    <t>Wärmeleistung der Ofenheizfläche W/m2</t>
  </si>
  <si>
    <t>Schamottestein</t>
  </si>
  <si>
    <t>Temperatur der Außenwände</t>
  </si>
  <si>
    <t>tu  Temperatur im Brennraum ºC</t>
  </si>
  <si>
    <t>Kern-Mantel: Strahlung, Strömung</t>
  </si>
  <si>
    <t>Wärmeleistung mit Heizröhre W/m2</t>
  </si>
  <si>
    <t>Kalk-Zementputz</t>
  </si>
  <si>
    <t>Heizfläche H m2</t>
  </si>
  <si>
    <t>tz Zimmertemperatur   ºC</t>
  </si>
  <si>
    <t>Durch Mantel: Leitung</t>
  </si>
  <si>
    <t>RN</t>
  </si>
  <si>
    <t>Emisinskoeficient έ</t>
  </si>
  <si>
    <t>λ   Koeficient der Leitfähigkeit des Materials W/m.K.</t>
  </si>
  <si>
    <t>Aussenseite des Mantels:</t>
  </si>
  <si>
    <t>Mantelfläche Heizröhre  cm2</t>
  </si>
  <si>
    <t>Rsi</t>
  </si>
  <si>
    <t>Strahlung des Ofens W/m2</t>
  </si>
  <si>
    <t>d  Wandbreite in lfm</t>
  </si>
  <si>
    <t>Strahlen, Strömen.</t>
  </si>
  <si>
    <t>Rse</t>
  </si>
  <si>
    <t>Strahlung der Außenwand W/m2</t>
  </si>
  <si>
    <t>R Wärmewiderstand m2.K/W</t>
  </si>
  <si>
    <t>Gesantstralung: Strahlung der Oberfäche des Mantels-Strahlung der Wände.</t>
  </si>
  <si>
    <t>Rt</t>
  </si>
  <si>
    <t>Gesamtstrahlung  W/m2</t>
  </si>
  <si>
    <t>R= d/λ</t>
  </si>
  <si>
    <t xml:space="preserve">ά Koeficient der Strömung 2,5 bis 7   bei starkem Wind ist 7, bei Windstille 2,5   Durchschnitt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</si>
  <si>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U=1/Rt</t>
  </si>
  <si>
    <t>Koeficient der Strömung ά</t>
  </si>
  <si>
    <t>RN=Σd/λ =d1/λ1+ d2/λ2+d3/λ3+,,,dn/λn d (m)</t>
  </si>
  <si>
    <t>φ  Wärmefluß W/m2</t>
  </si>
  <si>
    <t>Rostvertiefung cm</t>
  </si>
  <si>
    <t>6 bis 8</t>
  </si>
  <si>
    <t>9 bis 11</t>
  </si>
  <si>
    <t>12 bis 14</t>
  </si>
  <si>
    <t>14 bis 16</t>
  </si>
  <si>
    <t>Außentemperatur des Ofens  ºC</t>
  </si>
  <si>
    <t>Leistung durch Strömung</t>
  </si>
  <si>
    <t>Rt=Rsi+RN+Rse  m2.K/W</t>
  </si>
  <si>
    <t>ε Emissionskoeficient</t>
  </si>
  <si>
    <t>Aschfall          cm</t>
  </si>
  <si>
    <t>13 bis 17</t>
  </si>
  <si>
    <t xml:space="preserve">18 bis 20 </t>
  </si>
  <si>
    <t>20 bis 22</t>
  </si>
  <si>
    <t>Zwischenschichtschnittstelle</t>
  </si>
  <si>
    <t>Temperatur an der Schnittstelle</t>
  </si>
  <si>
    <t>Temperaturunterschied</t>
  </si>
  <si>
    <t>Leistung  gesamt W/m2</t>
  </si>
  <si>
    <t>Rsi=0,25   m2.K/W</t>
  </si>
  <si>
    <t>5,67 Bolzmannkonstatne</t>
  </si>
  <si>
    <t xml:space="preserve">Wandstärke </t>
  </si>
  <si>
    <t>ºC</t>
  </si>
  <si>
    <t>Wärmeleistung des Steinofens kWh</t>
  </si>
  <si>
    <t>Rse=0,07   m2.K/W</t>
  </si>
  <si>
    <t>Tk 230ºC  T=Tk+Normaltemperatur</t>
  </si>
  <si>
    <t>im Feuerraum cm</t>
  </si>
  <si>
    <t>8,5 bis 10</t>
  </si>
  <si>
    <t>11 bis 13</t>
  </si>
  <si>
    <t>16 bis 18</t>
  </si>
  <si>
    <r>
      <t xml:space="preserve"> </t>
    </r>
    <r>
      <rPr>
        <sz val="10"/>
        <rFont val="Arial"/>
        <family val="2"/>
      </rPr>
      <t>ΣRxj= R1+R2+R3…Rj</t>
    </r>
  </si>
  <si>
    <t>ΔT=T1-T2</t>
  </si>
  <si>
    <t>1. Zug Fall-und Steigzug cm</t>
  </si>
  <si>
    <t>7 bis 8</t>
  </si>
  <si>
    <t>8 bis9</t>
  </si>
  <si>
    <t>9 bis 10</t>
  </si>
  <si>
    <t>10 bis 11</t>
  </si>
  <si>
    <t>U koeficient des Wärmedurchganges W/m2.K</t>
  </si>
  <si>
    <t>Wärmeströmung durch :</t>
  </si>
  <si>
    <t>2. Zug über Ofenmitte cm</t>
  </si>
  <si>
    <t>8 bis 7</t>
  </si>
  <si>
    <t>8 bis 9</t>
  </si>
  <si>
    <t>Putz</t>
  </si>
  <si>
    <t>U=1/R</t>
  </si>
  <si>
    <t>Strahlung φz =ε*5,67*S*(T/100)↑4  W/m2</t>
  </si>
  <si>
    <t>3. und letzter Zug cm</t>
  </si>
  <si>
    <t>4,5 bis 5</t>
  </si>
  <si>
    <t>5 bis 6</t>
  </si>
  <si>
    <t>6 bis 7</t>
  </si>
  <si>
    <t>Zimmertemperatur tz ºC</t>
  </si>
  <si>
    <t xml:space="preserve">U=1/RN=Σλ/d =λ1/d1 +λ2/d2+ ...λn/dn </t>
  </si>
  <si>
    <t>Strömung φp = ά * ΔT  W/m2</t>
  </si>
  <si>
    <t>11 bis 12</t>
  </si>
  <si>
    <t>Durchschnittliche Oberflächetemperatur an der Schnittstelle</t>
  </si>
  <si>
    <t>Leitung φv =  ΔT*U W/m2</t>
  </si>
  <si>
    <t>Vollwärmungsdauer** Stunden</t>
  </si>
  <si>
    <t>15 bis 17</t>
  </si>
  <si>
    <t>17 bis 18</t>
  </si>
  <si>
    <t>Wärmeströmung gesamt: φ= φz+φp W/m2</t>
  </si>
  <si>
    <t>Ofengewicht  kg ***</t>
  </si>
  <si>
    <t>H Heizfäche m2</t>
  </si>
  <si>
    <t>Gesamtleistung des Ofens</t>
  </si>
  <si>
    <t>Ofenzüge</t>
  </si>
  <si>
    <t>p= φ *S  W</t>
  </si>
  <si>
    <t>Durchgang über dem Feuerbock cm2</t>
  </si>
  <si>
    <t>λ   Koeficient der Leitfähigkeit des Materials</t>
  </si>
  <si>
    <t>Fläche des 1. Zuges  cm2</t>
  </si>
  <si>
    <t>2. Zug cm2</t>
  </si>
  <si>
    <t>3. Zug cm2</t>
  </si>
  <si>
    <t>Durchbrenner cm2</t>
  </si>
  <si>
    <t>Rauchrohr  cm2  (DIN beachten)</t>
  </si>
  <si>
    <t>Durchmesser cm ****</t>
  </si>
  <si>
    <t>*Wärmebedarf eintragen</t>
  </si>
  <si>
    <t>** Nur Orientierunswerte, hängt von der Klimazone und Wetterlage</t>
  </si>
  <si>
    <t>*** Orientierungswerte</t>
  </si>
  <si>
    <t>**** Den Schornsteinfeger ansprechen !!!!</t>
  </si>
  <si>
    <t>Brennholzbedarf</t>
  </si>
  <si>
    <t>Heizleistung des Ofens kWh *</t>
  </si>
  <si>
    <t>Nachlegen in Stunden</t>
  </si>
  <si>
    <t>Gebrauchte Wärme kWh</t>
  </si>
  <si>
    <t>Leistungsfähigkeit in%</t>
  </si>
  <si>
    <t>Brennwert bei Feuchtigkeit %</t>
  </si>
  <si>
    <t>Gebrauchte Holzmenge kg</t>
  </si>
  <si>
    <t>*Als Heizleistung des Ofens wird der Wärmebedarf genommen</t>
  </si>
  <si>
    <t>Materiál</t>
  </si>
  <si>
    <t>λ - súčiniteľ tepelnej vodivosti, [W/m.K]</t>
  </si>
  <si>
    <r>
      <t>R - tepelný odpor 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.K/W]</t>
    </r>
  </si>
  <si>
    <t>c - tepelná kapacita [J/kg.K]</t>
  </si>
  <si>
    <r>
      <t>r - objemová hmotnosť [kg/m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</si>
  <si>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- nepriezvučnosť [dB]</t>
    </r>
  </si>
  <si>
    <r>
      <t>α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- koeficient dĺžkovej tepelnej rozťažnosti [K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x 10</t>
    </r>
    <r>
      <rPr>
        <vertAlign val="superscript"/>
        <sz val="12"/>
        <rFont val="Times New Roman"/>
        <family val="1"/>
      </rPr>
      <t>-6</t>
    </r>
    <r>
      <rPr>
        <sz val="12"/>
        <rFont val="Times New Roman"/>
        <family val="1"/>
      </rPr>
      <t>]</t>
    </r>
  </si>
  <si>
    <t>P - pevnosť v tlaku</t>
  </si>
  <si>
    <t>G - modul pružnosti</t>
  </si>
  <si>
    <r>
      <t>t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- teplota topenia [˚C]</t>
    </r>
  </si>
  <si>
    <r>
      <t>m</t>
    </r>
    <r>
      <rPr>
        <vertAlign val="subscript"/>
        <sz val="12"/>
        <rFont val="Times New Roman"/>
        <family val="1"/>
      </rPr>
      <t>1ks</t>
    </r>
    <r>
      <rPr>
        <sz val="12"/>
        <rFont val="Times New Roman"/>
        <family val="1"/>
      </rPr>
      <t xml:space="preserve"> - hmotnosť 1 kusu výrobku</t>
    </r>
  </si>
  <si>
    <t>Betón B20</t>
  </si>
  <si>
    <t>Brennwert bei 25% Feuchtigkeit</t>
  </si>
  <si>
    <t>Brennwert im Zusammenhang mit der Feuchtigkeit</t>
  </si>
  <si>
    <t>Brennholz</t>
  </si>
  <si>
    <t>MJ/kg</t>
  </si>
  <si>
    <t>kWh</t>
  </si>
  <si>
    <t>Feuchtigkeit</t>
  </si>
  <si>
    <t>Brennwert</t>
  </si>
  <si>
    <t>Fichte</t>
  </si>
  <si>
    <t>[%]</t>
  </si>
  <si>
    <t>[MJ/kg]</t>
  </si>
  <si>
    <t>kWh/kg</t>
  </si>
  <si>
    <t>Tanne</t>
  </si>
  <si>
    <t>Kiefer</t>
  </si>
  <si>
    <t>Lerche</t>
  </si>
  <si>
    <t>Papel</t>
  </si>
  <si>
    <t>Erle</t>
  </si>
  <si>
    <t>Weide</t>
  </si>
  <si>
    <t>Birke</t>
  </si>
  <si>
    <t>Hackschnitzel</t>
  </si>
  <si>
    <t>Buche</t>
  </si>
  <si>
    <t>Eiche</t>
  </si>
  <si>
    <t>Luft 10 ˚C</t>
  </si>
  <si>
    <t>Steinwolle</t>
  </si>
  <si>
    <t>Perlitte</t>
  </si>
  <si>
    <t>Gipskarton</t>
  </si>
  <si>
    <t>Schlacke</t>
  </si>
  <si>
    <t>Klinkerstein</t>
  </si>
  <si>
    <t>Ziegelsteine hohl</t>
  </si>
  <si>
    <t>Beton mit Ziegelsteinen</t>
  </si>
  <si>
    <t>Kiess</t>
  </si>
  <si>
    <t>Lehm</t>
  </si>
  <si>
    <t>Kalk-Sandstein</t>
  </si>
  <si>
    <t>Sand</t>
  </si>
  <si>
    <t>Fliesen aus Keramik</t>
  </si>
  <si>
    <t>Schamottestein 30x15x8</t>
  </si>
  <si>
    <t>Stahl</t>
  </si>
  <si>
    <t>Aluminium</t>
  </si>
  <si>
    <t>Kupfer</t>
  </si>
  <si>
    <r>
      <t>Wärmeleitfähigkeit λ</t>
    </r>
    <r>
      <rPr>
        <sz val="12"/>
        <rFont val="Times New Roman"/>
        <family val="1"/>
      </rPr>
      <t xml:space="preserve"> [W/m.K]</t>
    </r>
  </si>
  <si>
    <t>Kalkputz</t>
  </si>
  <si>
    <t>Ziegelmauerwerk, Vollstein</t>
  </si>
  <si>
    <t>Gipsputz</t>
  </si>
  <si>
    <t>Formstück aus Beton</t>
  </si>
  <si>
    <t>EINGABELEISTE</t>
  </si>
  <si>
    <t xml:space="preserve"> Tabelle 1 - Berechnung des Steinofens  nach Tabellen von H. Barlach</t>
  </si>
  <si>
    <t>tsix=tu-U*(Rsi+ΣRxj)*(tu-tm)in º C</t>
  </si>
  <si>
    <t>Tabelle 1b - Brennholzbedarf in kg</t>
  </si>
  <si>
    <t>nachlegen in Std</t>
  </si>
  <si>
    <t>ERGEBNIS</t>
  </si>
  <si>
    <t>Gesamtleistung des Ofens kW/hod</t>
  </si>
  <si>
    <t>Leistung der Heizfläche  W/m2</t>
  </si>
  <si>
    <t>Außentemperatur des Steinofens  ºC</t>
  </si>
  <si>
    <t>Feuerraumfläche  Torf,Holz H/60 bis H/40 cm2</t>
  </si>
  <si>
    <t>Heizfläche  H m2</t>
  </si>
  <si>
    <t>Feuerraumfläche Stein- und Braunkohle,Koks H/60 bis H/80 cm2</t>
  </si>
  <si>
    <t>Wärmrbrdarf</t>
  </si>
  <si>
    <t>Heizzuglänge minimal m</t>
  </si>
  <si>
    <t>gewählte Heizugslänge m</t>
  </si>
  <si>
    <t>Brennstoff</t>
  </si>
  <si>
    <t>Kcal/kg</t>
  </si>
  <si>
    <t>W/kg</t>
  </si>
  <si>
    <t>Holz</t>
  </si>
  <si>
    <t>Brikett</t>
  </si>
  <si>
    <t>Schwarzkohle</t>
  </si>
  <si>
    <t>Koks</t>
  </si>
  <si>
    <t>tu = Durchschnittstemperatur im Ofen</t>
  </si>
  <si>
    <t>Heizfläche m2</t>
  </si>
  <si>
    <t>Umrechnung auf Briketts</t>
  </si>
  <si>
    <t>Gebrauchtes Brennholz kg</t>
  </si>
  <si>
    <t>Durchschnittliche Ofenwanddicke in cm</t>
  </si>
  <si>
    <t>gewählte Heizzugslänge in m</t>
  </si>
  <si>
    <t>****</t>
  </si>
  <si>
    <t xml:space="preserve"> oder gebrauchte Briketts  kg</t>
  </si>
  <si>
    <t>Temperatur im Ofenaustritt zum       Schornstein  t   ºC</t>
  </si>
  <si>
    <t>tu= Durchschnittstemp. im Ofen  ºC</t>
  </si>
  <si>
    <t>aus Zeile 47, Spalte B-F</t>
  </si>
  <si>
    <t>In Zeile 31, Spalte B-F eintragen</t>
  </si>
  <si>
    <t>In Zeile 32, Spalte B-F eintragen</t>
  </si>
  <si>
    <t>In Zeile 34, Spalte B-F eintragen</t>
  </si>
  <si>
    <t>Rostfläche für Kohle cm2</t>
  </si>
  <si>
    <t>Rostfläche für Holz cm2</t>
  </si>
  <si>
    <t>Luftzufur gasreicher Brennstoff (Oberluftkanal) cm2</t>
  </si>
  <si>
    <t>Luftzufur gasarmer Brennstoff (Oberluftkanal) cm2</t>
  </si>
  <si>
    <t>Ofenheizfläche  H=</t>
  </si>
  <si>
    <t>Schamotte 1,57 W/m/K</t>
  </si>
  <si>
    <t>20 m2</t>
  </si>
  <si>
    <t>Tiefe des schrägen Übergangsteiles vom Feuerraumzum Rost</t>
  </si>
  <si>
    <t>16 cm</t>
  </si>
  <si>
    <t>Tiefe des schrägen Übergangsteiles vom Feuerraumzum Rost nach Barlach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</si>
</sst>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00000E+00"/>
    <numFmt numFmtId="175" formatCode="mmm\ dd"/>
    <numFmt numFmtId="176" formatCode="#,##0\ [$kWh-405];[Red]\-#,##0\ [$kWh-405]"/>
  </numFmts>
  <fonts count="2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Unicode MS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color indexed="2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31"/>
      </right>
      <top style="thin">
        <color indexed="24"/>
      </top>
      <bottom style="thin">
        <color indexed="31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31"/>
      </right>
      <top>
        <color indexed="63"/>
      </top>
      <bottom style="medium">
        <color indexed="31"/>
      </bottom>
    </border>
    <border>
      <left style="medium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8"/>
      </left>
      <right style="medium">
        <color indexed="31"/>
      </right>
      <top style="medium">
        <color indexed="31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2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44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1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3" borderId="4" xfId="0" applyFill="1" applyBorder="1" applyAlignment="1">
      <alignment/>
    </xf>
    <xf numFmtId="0" fontId="5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2" fontId="0" fillId="4" borderId="7" xfId="0" applyNumberFormat="1" applyFill="1" applyBorder="1" applyAlignment="1">
      <alignment/>
    </xf>
    <xf numFmtId="172" fontId="0" fillId="5" borderId="7" xfId="0" applyNumberFormat="1" applyFill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172" fontId="0" fillId="0" borderId="7" xfId="0" applyNumberFormat="1" applyBorder="1" applyAlignment="1">
      <alignment/>
    </xf>
    <xf numFmtId="0" fontId="0" fillId="3" borderId="8" xfId="0" applyFont="1" applyFill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0" fillId="7" borderId="6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6" borderId="11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0" fillId="9" borderId="4" xfId="0" applyFont="1" applyFill="1" applyBorder="1" applyAlignment="1">
      <alignment wrapText="1"/>
    </xf>
    <xf numFmtId="0" fontId="0" fillId="9" borderId="8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7" fillId="0" borderId="0" xfId="17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10" borderId="0" xfId="0" applyFont="1" applyFill="1" applyAlignment="1">
      <alignment/>
    </xf>
    <xf numFmtId="2" fontId="2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2" fontId="2" fillId="0" borderId="17" xfId="0" applyNumberFormat="1" applyFont="1" applyBorder="1" applyAlignment="1">
      <alignment/>
    </xf>
    <xf numFmtId="172" fontId="0" fillId="5" borderId="13" xfId="0" applyNumberFormat="1" applyFill="1" applyBorder="1" applyAlignment="1">
      <alignment/>
    </xf>
    <xf numFmtId="0" fontId="0" fillId="5" borderId="18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2" fontId="2" fillId="0" borderId="20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4" borderId="21" xfId="0" applyFont="1" applyFill="1" applyBorder="1" applyAlignment="1" applyProtection="1">
      <alignment/>
      <protection/>
    </xf>
    <xf numFmtId="2" fontId="0" fillId="4" borderId="6" xfId="0" applyNumberFormat="1" applyFont="1" applyFill="1" applyBorder="1" applyAlignment="1" applyProtection="1">
      <alignment/>
      <protection locked="0"/>
    </xf>
    <xf numFmtId="2" fontId="0" fillId="5" borderId="17" xfId="0" applyNumberForma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0" fontId="0" fillId="5" borderId="22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2" fontId="0" fillId="4" borderId="23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11" borderId="25" xfId="0" applyFont="1" applyFill="1" applyBorder="1" applyAlignment="1" applyProtection="1">
      <alignment/>
      <protection/>
    </xf>
    <xf numFmtId="2" fontId="0" fillId="11" borderId="26" xfId="0" applyNumberFormat="1" applyFont="1" applyFill="1" applyBorder="1" applyAlignment="1" applyProtection="1">
      <alignment/>
      <protection/>
    </xf>
    <xf numFmtId="0" fontId="0" fillId="4" borderId="27" xfId="0" applyFont="1" applyFill="1" applyBorder="1" applyAlignment="1" applyProtection="1">
      <alignment/>
      <protection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28" xfId="0" applyBorder="1" applyAlignment="1">
      <alignment/>
    </xf>
    <xf numFmtId="2" fontId="0" fillId="5" borderId="29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0" fontId="0" fillId="0" borderId="0" xfId="0" applyAlignment="1">
      <alignment shrinkToFit="1"/>
    </xf>
    <xf numFmtId="0" fontId="10" fillId="0" borderId="7" xfId="0" applyFont="1" applyBorder="1" applyAlignment="1">
      <alignment shrinkToFit="1"/>
    </xf>
    <xf numFmtId="0" fontId="11" fillId="0" borderId="0" xfId="0" applyFont="1" applyAlignment="1">
      <alignment/>
    </xf>
    <xf numFmtId="0" fontId="11" fillId="0" borderId="7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14" fillId="0" borderId="7" xfId="0" applyFont="1" applyBorder="1" applyAlignment="1">
      <alignment shrinkToFit="1"/>
    </xf>
    <xf numFmtId="0" fontId="1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wrapText="1"/>
    </xf>
    <xf numFmtId="2" fontId="11" fillId="5" borderId="37" xfId="0" applyNumberFormat="1" applyFont="1" applyFill="1" applyBorder="1" applyAlignment="1">
      <alignment horizontal="center" wrapText="1"/>
    </xf>
    <xf numFmtId="2" fontId="11" fillId="5" borderId="38" xfId="0" applyNumberFormat="1" applyFont="1" applyFill="1" applyBorder="1" applyAlignment="1">
      <alignment horizontal="center" wrapText="1"/>
    </xf>
    <xf numFmtId="2" fontId="11" fillId="5" borderId="39" xfId="0" applyNumberFormat="1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wrapText="1"/>
    </xf>
    <xf numFmtId="2" fontId="11" fillId="5" borderId="40" xfId="0" applyNumberFormat="1" applyFont="1" applyFill="1" applyBorder="1" applyAlignment="1">
      <alignment horizontal="center" wrapText="1"/>
    </xf>
    <xf numFmtId="2" fontId="11" fillId="5" borderId="41" xfId="0" applyNumberFormat="1" applyFont="1" applyFill="1" applyBorder="1" applyAlignment="1">
      <alignment horizontal="center" wrapText="1"/>
    </xf>
    <xf numFmtId="2" fontId="11" fillId="5" borderId="42" xfId="0" applyNumberFormat="1" applyFont="1" applyFill="1" applyBorder="1" applyAlignment="1">
      <alignment horizontal="center" wrapText="1"/>
    </xf>
    <xf numFmtId="4" fontId="0" fillId="5" borderId="40" xfId="0" applyNumberForma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4" fontId="0" fillId="5" borderId="41" xfId="0" applyNumberFormat="1" applyFill="1" applyBorder="1" applyAlignment="1">
      <alignment horizontal="center" wrapText="1"/>
    </xf>
    <xf numFmtId="2" fontId="11" fillId="5" borderId="43" xfId="0" applyNumberFormat="1" applyFont="1" applyFill="1" applyBorder="1" applyAlignment="1">
      <alignment horizontal="center" wrapText="1"/>
    </xf>
    <xf numFmtId="2" fontId="0" fillId="5" borderId="7" xfId="0" applyNumberFormat="1" applyFill="1" applyBorder="1" applyAlignment="1">
      <alignment horizontal="center" wrapText="1"/>
    </xf>
    <xf numFmtId="0" fontId="0" fillId="0" borderId="44" xfId="0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0" fillId="0" borderId="13" xfId="0" applyBorder="1" applyAlignment="1">
      <alignment/>
    </xf>
    <xf numFmtId="0" fontId="17" fillId="5" borderId="47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5" borderId="49" xfId="0" applyNumberFormat="1" applyFill="1" applyBorder="1" applyAlignment="1">
      <alignment horizontal="center" wrapText="1"/>
    </xf>
    <xf numFmtId="2" fontId="0" fillId="5" borderId="9" xfId="0" applyNumberFormat="1" applyFill="1" applyBorder="1" applyAlignment="1">
      <alignment horizontal="center" wrapText="1"/>
    </xf>
    <xf numFmtId="4" fontId="0" fillId="5" borderId="50" xfId="0" applyNumberFormat="1" applyFill="1" applyBorder="1" applyAlignment="1">
      <alignment horizontal="center" wrapText="1"/>
    </xf>
    <xf numFmtId="0" fontId="0" fillId="5" borderId="4" xfId="0" applyFont="1" applyFill="1" applyBorder="1" applyAlignment="1" applyProtection="1">
      <alignment/>
      <protection/>
    </xf>
    <xf numFmtId="0" fontId="2" fillId="5" borderId="21" xfId="0" applyFont="1" applyFill="1" applyBorder="1" applyAlignment="1" applyProtection="1">
      <alignment/>
      <protection/>
    </xf>
    <xf numFmtId="0" fontId="0" fillId="5" borderId="6" xfId="0" applyFont="1" applyFill="1" applyBorder="1" applyAlignment="1" applyProtection="1">
      <alignment horizontal="center"/>
      <protection/>
    </xf>
    <xf numFmtId="0" fontId="11" fillId="5" borderId="22" xfId="0" applyFont="1" applyFill="1" applyBorder="1" applyAlignment="1">
      <alignment wrapText="1"/>
    </xf>
    <xf numFmtId="0" fontId="0" fillId="4" borderId="6" xfId="0" applyFont="1" applyFill="1" applyBorder="1" applyAlignment="1" applyProtection="1">
      <alignment/>
      <protection locked="0"/>
    </xf>
    <xf numFmtId="0" fontId="0" fillId="5" borderId="22" xfId="0" applyFill="1" applyBorder="1" applyAlignment="1">
      <alignment wrapText="1"/>
    </xf>
    <xf numFmtId="176" fontId="0" fillId="4" borderId="6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>
      <alignment wrapText="1" shrinkToFi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2" xfId="0" applyNumberFormat="1" applyFont="1" applyBorder="1" applyAlignment="1">
      <alignment/>
    </xf>
    <xf numFmtId="0" fontId="0" fillId="5" borderId="53" xfId="0" applyFill="1" applyBorder="1" applyAlignment="1">
      <alignment/>
    </xf>
    <xf numFmtId="0" fontId="3" fillId="12" borderId="0" xfId="0" applyFont="1" applyFill="1" applyBorder="1" applyAlignment="1">
      <alignment/>
    </xf>
    <xf numFmtId="0" fontId="0" fillId="0" borderId="54" xfId="0" applyBorder="1" applyAlignment="1">
      <alignment/>
    </xf>
    <xf numFmtId="2" fontId="2" fillId="0" borderId="54" xfId="0" applyNumberFormat="1" applyFont="1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2" fontId="2" fillId="0" borderId="53" xfId="0" applyNumberFormat="1" applyFont="1" applyBorder="1" applyAlignment="1">
      <alignment wrapText="1"/>
    </xf>
    <xf numFmtId="2" fontId="0" fillId="5" borderId="58" xfId="0" applyNumberFormat="1" applyFont="1" applyFill="1" applyBorder="1" applyAlignment="1">
      <alignment/>
    </xf>
    <xf numFmtId="2" fontId="0" fillId="5" borderId="56" xfId="0" applyNumberFormat="1" applyFill="1" applyBorder="1" applyAlignment="1">
      <alignment/>
    </xf>
    <xf numFmtId="2" fontId="0" fillId="5" borderId="53" xfId="0" applyNumberFormat="1" applyFont="1" applyFill="1" applyBorder="1" applyAlignment="1">
      <alignment/>
    </xf>
    <xf numFmtId="2" fontId="0" fillId="5" borderId="59" xfId="0" applyNumberFormat="1" applyFill="1" applyBorder="1" applyAlignment="1">
      <alignment/>
    </xf>
    <xf numFmtId="2" fontId="0" fillId="5" borderId="59" xfId="0" applyNumberFormat="1" applyFill="1" applyBorder="1" applyAlignment="1">
      <alignment horizontal="center"/>
    </xf>
    <xf numFmtId="2" fontId="0" fillId="0" borderId="56" xfId="0" applyNumberFormat="1" applyFont="1" applyBorder="1" applyAlignment="1">
      <alignment/>
    </xf>
    <xf numFmtId="2" fontId="0" fillId="0" borderId="56" xfId="0" applyNumberFormat="1" applyBorder="1" applyAlignment="1">
      <alignment/>
    </xf>
    <xf numFmtId="0" fontId="0" fillId="0" borderId="60" xfId="0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61" xfId="0" applyNumberFormat="1" applyBorder="1" applyAlignment="1">
      <alignment/>
    </xf>
    <xf numFmtId="0" fontId="0" fillId="5" borderId="54" xfId="0" applyFont="1" applyFill="1" applyBorder="1" applyAlignment="1">
      <alignment/>
    </xf>
    <xf numFmtId="2" fontId="0" fillId="0" borderId="54" xfId="0" applyNumberFormat="1" applyFont="1" applyBorder="1" applyAlignment="1">
      <alignment/>
    </xf>
    <xf numFmtId="2" fontId="2" fillId="0" borderId="52" xfId="0" applyNumberFormat="1" applyFont="1" applyBorder="1" applyAlignment="1">
      <alignment wrapText="1"/>
    </xf>
    <xf numFmtId="2" fontId="0" fillId="0" borderId="54" xfId="0" applyNumberFormat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62" xfId="0" applyNumberFormat="1" applyBorder="1" applyAlignment="1">
      <alignment/>
    </xf>
    <xf numFmtId="0" fontId="0" fillId="0" borderId="52" xfId="0" applyBorder="1" applyAlignment="1">
      <alignment/>
    </xf>
    <xf numFmtId="2" fontId="0" fillId="5" borderId="55" xfId="0" applyNumberFormat="1" applyFont="1" applyFill="1" applyBorder="1" applyAlignment="1">
      <alignment/>
    </xf>
    <xf numFmtId="2" fontId="0" fillId="5" borderId="61" xfId="0" applyNumberFormat="1" applyFill="1" applyBorder="1" applyAlignment="1">
      <alignment/>
    </xf>
    <xf numFmtId="2" fontId="0" fillId="5" borderId="52" xfId="0" applyNumberFormat="1" applyFill="1" applyBorder="1" applyAlignment="1">
      <alignment/>
    </xf>
    <xf numFmtId="0" fontId="0" fillId="0" borderId="63" xfId="0" applyBorder="1" applyAlignment="1">
      <alignment/>
    </xf>
    <xf numFmtId="2" fontId="0" fillId="0" borderId="62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7" fillId="0" borderId="55" xfId="17" applyNumberFormat="1" applyFill="1" applyBorder="1" applyAlignment="1" applyProtection="1">
      <alignment/>
      <protection/>
    </xf>
    <xf numFmtId="0" fontId="0" fillId="0" borderId="61" xfId="0" applyBorder="1" applyAlignment="1">
      <alignment/>
    </xf>
    <xf numFmtId="2" fontId="0" fillId="5" borderId="66" xfId="0" applyNumberFormat="1" applyFill="1" applyBorder="1" applyAlignment="1">
      <alignment/>
    </xf>
    <xf numFmtId="2" fontId="0" fillId="5" borderId="53" xfId="0" applyNumberFormat="1" applyFill="1" applyBorder="1" applyAlignment="1">
      <alignment/>
    </xf>
    <xf numFmtId="172" fontId="0" fillId="0" borderId="56" xfId="0" applyNumberFormat="1" applyBorder="1" applyAlignment="1">
      <alignment/>
    </xf>
    <xf numFmtId="0" fontId="2" fillId="0" borderId="59" xfId="0" applyFont="1" applyBorder="1" applyAlignment="1">
      <alignment/>
    </xf>
    <xf numFmtId="172" fontId="2" fillId="0" borderId="52" xfId="0" applyNumberFormat="1" applyFont="1" applyBorder="1" applyAlignment="1">
      <alignment/>
    </xf>
    <xf numFmtId="0" fontId="0" fillId="5" borderId="59" xfId="0" applyFill="1" applyBorder="1" applyAlignment="1">
      <alignment/>
    </xf>
    <xf numFmtId="172" fontId="0" fillId="0" borderId="52" xfId="0" applyNumberFormat="1" applyBorder="1" applyAlignment="1">
      <alignment/>
    </xf>
    <xf numFmtId="0" fontId="0" fillId="13" borderId="52" xfId="0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5" borderId="61" xfId="0" applyFont="1" applyFill="1" applyBorder="1" applyAlignment="1">
      <alignment/>
    </xf>
    <xf numFmtId="0" fontId="2" fillId="0" borderId="54" xfId="0" applyFont="1" applyBorder="1" applyAlignment="1">
      <alignment/>
    </xf>
    <xf numFmtId="0" fontId="5" fillId="0" borderId="54" xfId="0" applyFont="1" applyBorder="1" applyAlignment="1">
      <alignment/>
    </xf>
    <xf numFmtId="2" fontId="0" fillId="0" borderId="67" xfId="0" applyNumberFormat="1" applyBorder="1" applyAlignment="1">
      <alignment/>
    </xf>
    <xf numFmtId="2" fontId="2" fillId="0" borderId="67" xfId="0" applyNumberFormat="1" applyFont="1" applyBorder="1" applyAlignment="1">
      <alignment/>
    </xf>
    <xf numFmtId="0" fontId="0" fillId="5" borderId="52" xfId="0" applyFill="1" applyBorder="1" applyAlignment="1">
      <alignment/>
    </xf>
    <xf numFmtId="0" fontId="0" fillId="5" borderId="61" xfId="0" applyFill="1" applyBorder="1" applyAlignment="1">
      <alignment/>
    </xf>
    <xf numFmtId="0" fontId="0" fillId="0" borderId="54" xfId="0" applyFont="1" applyBorder="1" applyAlignment="1">
      <alignment/>
    </xf>
    <xf numFmtId="0" fontId="3" fillId="12" borderId="58" xfId="0" applyFont="1" applyFill="1" applyBorder="1" applyAlignment="1">
      <alignment/>
    </xf>
    <xf numFmtId="0" fontId="5" fillId="12" borderId="61" xfId="0" applyFont="1" applyFill="1" applyBorder="1" applyAlignment="1">
      <alignment/>
    </xf>
    <xf numFmtId="2" fontId="5" fillId="12" borderId="58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9" fillId="0" borderId="68" xfId="0" applyFont="1" applyBorder="1" applyAlignment="1">
      <alignment/>
    </xf>
    <xf numFmtId="0" fontId="0" fillId="0" borderId="69" xfId="0" applyBorder="1" applyAlignment="1">
      <alignment/>
    </xf>
    <xf numFmtId="2" fontId="2" fillId="0" borderId="70" xfId="0" applyNumberFormat="1" applyFont="1" applyBorder="1" applyAlignment="1">
      <alignment wrapText="1"/>
    </xf>
    <xf numFmtId="2" fontId="2" fillId="0" borderId="71" xfId="0" applyNumberFormat="1" applyFont="1" applyBorder="1" applyAlignment="1">
      <alignment wrapText="1"/>
    </xf>
    <xf numFmtId="2" fontId="2" fillId="0" borderId="72" xfId="0" applyNumberFormat="1" applyFont="1" applyBorder="1" applyAlignment="1">
      <alignment wrapText="1"/>
    </xf>
    <xf numFmtId="2" fontId="2" fillId="0" borderId="73" xfId="0" applyNumberFormat="1" applyFont="1" applyBorder="1" applyAlignment="1">
      <alignment wrapText="1"/>
    </xf>
    <xf numFmtId="2" fontId="0" fillId="4" borderId="74" xfId="0" applyNumberFormat="1" applyFont="1" applyFill="1" applyBorder="1" applyAlignment="1">
      <alignment/>
    </xf>
    <xf numFmtId="2" fontId="0" fillId="4" borderId="75" xfId="0" applyNumberFormat="1" applyFill="1" applyBorder="1" applyAlignment="1">
      <alignment/>
    </xf>
    <xf numFmtId="2" fontId="0" fillId="4" borderId="75" xfId="0" applyNumberFormat="1" applyFill="1" applyBorder="1" applyAlignment="1">
      <alignment horizontal="center"/>
    </xf>
    <xf numFmtId="2" fontId="0" fillId="0" borderId="74" xfId="0" applyNumberFormat="1" applyFont="1" applyBorder="1" applyAlignment="1">
      <alignment/>
    </xf>
    <xf numFmtId="2" fontId="0" fillId="0" borderId="75" xfId="0" applyNumberFormat="1" applyBorder="1" applyAlignment="1">
      <alignment/>
    </xf>
    <xf numFmtId="2" fontId="0" fillId="0" borderId="74" xfId="0" applyNumberFormat="1" applyFont="1" applyFill="1" applyBorder="1" applyAlignment="1">
      <alignment/>
    </xf>
    <xf numFmtId="2" fontId="0" fillId="0" borderId="76" xfId="0" applyNumberFormat="1" applyFont="1" applyFill="1" applyBorder="1" applyAlignment="1">
      <alignment/>
    </xf>
    <xf numFmtId="2" fontId="0" fillId="0" borderId="77" xfId="0" applyNumberForma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2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 wrapText="1"/>
    </xf>
    <xf numFmtId="2" fontId="2" fillId="0" borderId="81" xfId="0" applyNumberFormat="1" applyFont="1" applyBorder="1" applyAlignment="1">
      <alignment wrapText="1"/>
    </xf>
    <xf numFmtId="0" fontId="2" fillId="0" borderId="82" xfId="0" applyFont="1" applyBorder="1" applyAlignment="1">
      <alignment/>
    </xf>
    <xf numFmtId="2" fontId="2" fillId="0" borderId="83" xfId="0" applyNumberFormat="1" applyFont="1" applyBorder="1" applyAlignment="1">
      <alignment wrapText="1"/>
    </xf>
    <xf numFmtId="0" fontId="0" fillId="0" borderId="84" xfId="0" applyBorder="1" applyAlignment="1">
      <alignment/>
    </xf>
    <xf numFmtId="2" fontId="0" fillId="0" borderId="85" xfId="0" applyNumberFormat="1" applyFont="1" applyBorder="1" applyAlignment="1">
      <alignment/>
    </xf>
    <xf numFmtId="0" fontId="0" fillId="4" borderId="86" xfId="0" applyFont="1" applyFill="1" applyBorder="1" applyAlignment="1">
      <alignment/>
    </xf>
    <xf numFmtId="2" fontId="0" fillId="0" borderId="87" xfId="0" applyNumberForma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2" fontId="0" fillId="4" borderId="89" xfId="0" applyNumberFormat="1" applyFill="1" applyBorder="1" applyAlignment="1">
      <alignment/>
    </xf>
    <xf numFmtId="172" fontId="0" fillId="0" borderId="89" xfId="0" applyNumberFormat="1" applyBorder="1" applyAlignment="1">
      <alignment/>
    </xf>
    <xf numFmtId="0" fontId="0" fillId="0" borderId="90" xfId="0" applyBorder="1" applyAlignment="1">
      <alignment/>
    </xf>
    <xf numFmtId="0" fontId="5" fillId="12" borderId="53" xfId="0" applyFont="1" applyFill="1" applyBorder="1" applyAlignment="1">
      <alignment/>
    </xf>
    <xf numFmtId="2" fontId="2" fillId="5" borderId="53" xfId="0" applyNumberFormat="1" applyFont="1" applyFill="1" applyBorder="1" applyAlignment="1">
      <alignment wrapText="1"/>
    </xf>
    <xf numFmtId="173" fontId="0" fillId="5" borderId="53" xfId="0" applyNumberFormat="1" applyFont="1" applyFill="1" applyBorder="1" applyAlignment="1">
      <alignment/>
    </xf>
    <xf numFmtId="173" fontId="0" fillId="5" borderId="52" xfId="0" applyNumberFormat="1" applyFont="1" applyFill="1" applyBorder="1" applyAlignment="1">
      <alignment/>
    </xf>
    <xf numFmtId="2" fontId="2" fillId="0" borderId="61" xfId="0" applyNumberFormat="1" applyFont="1" applyBorder="1" applyAlignment="1">
      <alignment wrapText="1"/>
    </xf>
    <xf numFmtId="2" fontId="0" fillId="5" borderId="52" xfId="0" applyNumberFormat="1" applyFont="1" applyFill="1" applyBorder="1" applyAlignment="1">
      <alignment/>
    </xf>
    <xf numFmtId="0" fontId="19" fillId="14" borderId="0" xfId="0" applyFont="1" applyFill="1" applyAlignment="1">
      <alignment/>
    </xf>
    <xf numFmtId="2" fontId="0" fillId="4" borderId="91" xfId="0" applyNumberFormat="1" applyFont="1" applyFill="1" applyBorder="1" applyAlignment="1">
      <alignment/>
    </xf>
    <xf numFmtId="0" fontId="0" fillId="15" borderId="92" xfId="0" applyFill="1" applyBorder="1" applyAlignment="1">
      <alignment/>
    </xf>
    <xf numFmtId="0" fontId="0" fillId="15" borderId="91" xfId="0" applyFill="1" applyBorder="1" applyAlignment="1">
      <alignment/>
    </xf>
    <xf numFmtId="2" fontId="0" fillId="5" borderId="74" xfId="0" applyNumberFormat="1" applyFont="1" applyFill="1" applyBorder="1" applyAlignment="1">
      <alignment/>
    </xf>
    <xf numFmtId="2" fontId="0" fillId="5" borderId="75" xfId="0" applyNumberFormat="1" applyFill="1" applyBorder="1" applyAlignment="1">
      <alignment/>
    </xf>
    <xf numFmtId="0" fontId="0" fillId="9" borderId="6" xfId="0" applyFill="1" applyBorder="1" applyAlignment="1">
      <alignment/>
    </xf>
    <xf numFmtId="2" fontId="0" fillId="0" borderId="65" xfId="0" applyNumberFormat="1" applyBorder="1" applyAlignment="1">
      <alignment/>
    </xf>
    <xf numFmtId="2" fontId="3" fillId="12" borderId="52" xfId="0" applyNumberFormat="1" applyFont="1" applyFill="1" applyBorder="1" applyAlignment="1">
      <alignment/>
    </xf>
    <xf numFmtId="2" fontId="2" fillId="5" borderId="52" xfId="0" applyNumberFormat="1" applyFont="1" applyFill="1" applyBorder="1" applyAlignment="1">
      <alignment wrapText="1"/>
    </xf>
    <xf numFmtId="2" fontId="0" fillId="0" borderId="67" xfId="0" applyNumberFormat="1" applyFont="1" applyBorder="1" applyAlignment="1">
      <alignment/>
    </xf>
    <xf numFmtId="0" fontId="4" fillId="12" borderId="58" xfId="0" applyFont="1" applyFill="1" applyBorder="1" applyAlignment="1">
      <alignment/>
    </xf>
    <xf numFmtId="0" fontId="5" fillId="12" borderId="54" xfId="0" applyFont="1" applyFill="1" applyBorder="1" applyAlignment="1">
      <alignment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/>
    </xf>
    <xf numFmtId="2" fontId="2" fillId="0" borderId="58" xfId="0" applyNumberFormat="1" applyFont="1" applyBorder="1" applyAlignment="1">
      <alignment wrapText="1"/>
    </xf>
    <xf numFmtId="0" fontId="0" fillId="14" borderId="0" xfId="0" applyFill="1" applyAlignment="1">
      <alignment/>
    </xf>
    <xf numFmtId="0" fontId="0" fillId="0" borderId="58" xfId="0" applyBorder="1" applyAlignment="1">
      <alignment/>
    </xf>
    <xf numFmtId="0" fontId="0" fillId="13" borderId="53" xfId="0" applyFill="1" applyBorder="1" applyAlignment="1">
      <alignment/>
    </xf>
    <xf numFmtId="0" fontId="0" fillId="4" borderId="93" xfId="0" applyFill="1" applyBorder="1" applyAlignment="1">
      <alignment horizontal="center"/>
    </xf>
    <xf numFmtId="0" fontId="0" fillId="5" borderId="94" xfId="0" applyFill="1" applyBorder="1" applyAlignment="1">
      <alignment horizontal="center"/>
    </xf>
    <xf numFmtId="2" fontId="0" fillId="6" borderId="94" xfId="0" applyNumberFormat="1" applyFill="1" applyBorder="1" applyAlignment="1">
      <alignment horizontal="center"/>
    </xf>
    <xf numFmtId="0" fontId="0" fillId="6" borderId="94" xfId="0" applyFill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0" fontId="2" fillId="0" borderId="93" xfId="0" applyFont="1" applyBorder="1" applyAlignment="1">
      <alignment horizontal="center"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4" borderId="97" xfId="0" applyFill="1" applyBorder="1" applyAlignment="1">
      <alignment horizontal="center"/>
    </xf>
    <xf numFmtId="0" fontId="0" fillId="5" borderId="98" xfId="0" applyFill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2" fontId="0" fillId="0" borderId="87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2" fontId="0" fillId="6" borderId="89" xfId="0" applyNumberFormat="1" applyFont="1" applyFill="1" applyBorder="1" applyAlignment="1">
      <alignment horizontal="center"/>
    </xf>
    <xf numFmtId="2" fontId="0" fillId="0" borderId="90" xfId="0" applyNumberFormat="1" applyFont="1" applyBorder="1" applyAlignment="1">
      <alignment horizontal="center"/>
    </xf>
    <xf numFmtId="0" fontId="3" fillId="1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3" borderId="0" xfId="0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3" borderId="67" xfId="0" applyFill="1" applyBorder="1" applyAlignment="1">
      <alignment/>
    </xf>
    <xf numFmtId="2" fontId="0" fillId="0" borderId="58" xfId="0" applyNumberFormat="1" applyBorder="1" applyAlignment="1">
      <alignment/>
    </xf>
    <xf numFmtId="0" fontId="20" fillId="13" borderId="58" xfId="0" applyFont="1" applyFill="1" applyBorder="1" applyAlignment="1">
      <alignment/>
    </xf>
    <xf numFmtId="0" fontId="19" fillId="13" borderId="53" xfId="0" applyFont="1" applyFill="1" applyBorder="1" applyAlignment="1">
      <alignment/>
    </xf>
    <xf numFmtId="0" fontId="0" fillId="13" borderId="58" xfId="0" applyFill="1" applyBorder="1" applyAlignment="1">
      <alignment/>
    </xf>
    <xf numFmtId="2" fontId="0" fillId="5" borderId="58" xfId="0" applyNumberFormat="1" applyFill="1" applyBorder="1" applyAlignment="1">
      <alignment/>
    </xf>
    <xf numFmtId="2" fontId="0" fillId="13" borderId="61" xfId="0" applyNumberFormat="1" applyFill="1" applyBorder="1" applyAlignment="1">
      <alignment/>
    </xf>
    <xf numFmtId="0" fontId="3" fillId="13" borderId="53" xfId="0" applyFont="1" applyFill="1" applyBorder="1" applyAlignment="1">
      <alignment/>
    </xf>
    <xf numFmtId="2" fontId="0" fillId="13" borderId="52" xfId="0" applyNumberFormat="1" applyFill="1" applyBorder="1" applyAlignment="1">
      <alignment/>
    </xf>
    <xf numFmtId="2" fontId="0" fillId="13" borderId="54" xfId="0" applyNumberFormat="1" applyFill="1" applyBorder="1" applyAlignment="1">
      <alignment/>
    </xf>
    <xf numFmtId="0" fontId="0" fillId="13" borderId="53" xfId="0" applyFont="1" applyFill="1" applyBorder="1" applyAlignment="1">
      <alignment/>
    </xf>
    <xf numFmtId="2" fontId="0" fillId="13" borderId="58" xfId="0" applyNumberFormat="1" applyFill="1" applyBorder="1" applyAlignment="1">
      <alignment/>
    </xf>
    <xf numFmtId="0" fontId="0" fillId="4" borderId="58" xfId="0" applyFont="1" applyFill="1" applyBorder="1" applyAlignment="1" applyProtection="1">
      <alignment/>
      <protection/>
    </xf>
    <xf numFmtId="2" fontId="0" fillId="15" borderId="99" xfId="0" applyNumberFormat="1" applyFill="1" applyBorder="1" applyAlignment="1">
      <alignment/>
    </xf>
    <xf numFmtId="0" fontId="3" fillId="4" borderId="91" xfId="0" applyFont="1" applyFill="1" applyBorder="1" applyAlignment="1">
      <alignment/>
    </xf>
    <xf numFmtId="2" fontId="0" fillId="15" borderId="100" xfId="0" applyNumberFormat="1" applyFill="1" applyBorder="1" applyAlignment="1">
      <alignment/>
    </xf>
    <xf numFmtId="0" fontId="0" fillId="16" borderId="92" xfId="0" applyFill="1" applyBorder="1" applyAlignment="1">
      <alignment/>
    </xf>
    <xf numFmtId="0" fontId="0" fillId="16" borderId="91" xfId="0" applyFill="1" applyBorder="1" applyAlignment="1">
      <alignment/>
    </xf>
    <xf numFmtId="2" fontId="0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172" fontId="0" fillId="0" borderId="7" xfId="0" applyNumberFormat="1" applyBorder="1" applyAlignment="1">
      <alignment wrapText="1"/>
    </xf>
    <xf numFmtId="2" fontId="0" fillId="0" borderId="87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74" xfId="0" applyNumberFormat="1" applyFont="1" applyBorder="1" applyAlignment="1">
      <alignment wrapText="1"/>
    </xf>
    <xf numFmtId="2" fontId="0" fillId="0" borderId="75" xfId="0" applyNumberFormat="1" applyBorder="1" applyAlignment="1">
      <alignment wrapText="1"/>
    </xf>
    <xf numFmtId="0" fontId="0" fillId="7" borderId="4" xfId="0" applyFont="1" applyFill="1" applyBorder="1" applyAlignment="1">
      <alignment wrapText="1"/>
    </xf>
    <xf numFmtId="2" fontId="11" fillId="5" borderId="13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17" borderId="91" xfId="0" applyFill="1" applyBorder="1" applyAlignment="1" applyProtection="1">
      <alignment/>
      <protection/>
    </xf>
    <xf numFmtId="0" fontId="0" fillId="17" borderId="101" xfId="0" applyFont="1" applyFill="1" applyBorder="1" applyAlignment="1" applyProtection="1">
      <alignment/>
      <protection/>
    </xf>
    <xf numFmtId="2" fontId="0" fillId="16" borderId="92" xfId="0" applyNumberFormat="1" applyFill="1" applyBorder="1" applyAlignment="1">
      <alignment/>
    </xf>
    <xf numFmtId="2" fontId="0" fillId="16" borderId="91" xfId="0" applyNumberFormat="1" applyFill="1" applyBorder="1" applyAlignment="1">
      <alignment/>
    </xf>
    <xf numFmtId="2" fontId="0" fillId="17" borderId="91" xfId="0" applyNumberFormat="1" applyFont="1" applyFill="1" applyBorder="1" applyAlignment="1" applyProtection="1">
      <alignment/>
      <protection/>
    </xf>
    <xf numFmtId="2" fontId="0" fillId="17" borderId="101" xfId="0" applyNumberFormat="1" applyFont="1" applyFill="1" applyBorder="1" applyAlignment="1" applyProtection="1">
      <alignment/>
      <protection/>
    </xf>
    <xf numFmtId="2" fontId="0" fillId="11" borderId="0" xfId="0" applyNumberFormat="1" applyFont="1" applyFill="1" applyBorder="1" applyAlignment="1" applyProtection="1">
      <alignment/>
      <protection/>
    </xf>
    <xf numFmtId="0" fontId="0" fillId="11" borderId="27" xfId="0" applyFill="1" applyBorder="1" applyAlignment="1" applyProtection="1">
      <alignment/>
      <protection/>
    </xf>
    <xf numFmtId="0" fontId="0" fillId="0" borderId="102" xfId="0" applyBorder="1" applyAlignment="1">
      <alignment/>
    </xf>
    <xf numFmtId="0" fontId="0" fillId="5" borderId="103" xfId="0" applyFont="1" applyFill="1" applyBorder="1" applyAlignment="1" applyProtection="1">
      <alignment/>
      <protection/>
    </xf>
    <xf numFmtId="0" fontId="0" fillId="5" borderId="100" xfId="0" applyFont="1" applyFill="1" applyBorder="1" applyAlignment="1" applyProtection="1">
      <alignment horizontal="center"/>
      <protection/>
    </xf>
    <xf numFmtId="2" fontId="0" fillId="5" borderId="99" xfId="0" applyNumberFormat="1" applyFont="1" applyFill="1" applyBorder="1" applyAlignment="1" applyProtection="1">
      <alignment/>
      <protection locked="0"/>
    </xf>
    <xf numFmtId="2" fontId="0" fillId="4" borderId="99" xfId="0" applyNumberFormat="1" applyFont="1" applyFill="1" applyBorder="1" applyAlignment="1" applyProtection="1">
      <alignment/>
      <protection locked="0"/>
    </xf>
    <xf numFmtId="2" fontId="0" fillId="11" borderId="99" xfId="0" applyNumberFormat="1" applyFont="1" applyFill="1" applyBorder="1" applyAlignment="1" applyProtection="1">
      <alignment/>
      <protection/>
    </xf>
    <xf numFmtId="2" fontId="0" fillId="11" borderId="104" xfId="0" applyNumberFormat="1" applyFont="1" applyFill="1" applyBorder="1" applyAlignment="1" applyProtection="1">
      <alignment/>
      <protection/>
    </xf>
    <xf numFmtId="0" fontId="0" fillId="5" borderId="92" xfId="0" applyFont="1" applyFill="1" applyBorder="1" applyAlignment="1" applyProtection="1">
      <alignment/>
      <protection/>
    </xf>
    <xf numFmtId="0" fontId="0" fillId="4" borderId="91" xfId="0" applyFont="1" applyFill="1" applyBorder="1" applyAlignment="1" applyProtection="1">
      <alignment/>
      <protection/>
    </xf>
    <xf numFmtId="0" fontId="0" fillId="5" borderId="91" xfId="0" applyFont="1" applyFill="1" applyBorder="1" applyAlignment="1" applyProtection="1">
      <alignment/>
      <protection/>
    </xf>
    <xf numFmtId="0" fontId="0" fillId="11" borderId="91" xfId="0" applyFill="1" applyBorder="1" applyAlignment="1" applyProtection="1">
      <alignment/>
      <protection/>
    </xf>
    <xf numFmtId="0" fontId="0" fillId="11" borderId="101" xfId="0" applyFill="1" applyBorder="1" applyAlignment="1" applyProtection="1">
      <alignment/>
      <protection/>
    </xf>
    <xf numFmtId="0" fontId="0" fillId="4" borderId="105" xfId="0" applyFill="1" applyBorder="1" applyAlignment="1" applyProtection="1">
      <alignment/>
      <protection/>
    </xf>
    <xf numFmtId="0" fontId="2" fillId="2" borderId="101" xfId="0" applyFont="1" applyFill="1" applyBorder="1" applyAlignment="1" applyProtection="1">
      <alignment/>
      <protection/>
    </xf>
    <xf numFmtId="2" fontId="0" fillId="5" borderId="104" xfId="0" applyNumberFormat="1" applyFont="1" applyFill="1" applyBorder="1" applyAlignment="1" applyProtection="1">
      <alignment/>
      <protection locked="0"/>
    </xf>
    <xf numFmtId="2" fontId="0" fillId="4" borderId="106" xfId="0" applyNumberFormat="1" applyFill="1" applyBorder="1" applyAlignment="1" applyProtection="1">
      <alignment/>
      <protection locked="0"/>
    </xf>
    <xf numFmtId="2" fontId="0" fillId="15" borderId="104" xfId="0" applyNumberFormat="1" applyFill="1" applyBorder="1" applyAlignment="1">
      <alignment/>
    </xf>
    <xf numFmtId="0" fontId="0" fillId="15" borderId="101" xfId="0" applyFill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18" borderId="5" xfId="0" applyNumberFormat="1" applyFill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2" fontId="0" fillId="18" borderId="94" xfId="0" applyNumberFormat="1" applyFill="1" applyBorder="1" applyAlignment="1">
      <alignment horizontal="center"/>
    </xf>
    <xf numFmtId="2" fontId="0" fillId="0" borderId="94" xfId="0" applyNumberFormat="1" applyBorder="1" applyAlignment="1">
      <alignment horizontal="center" wrapText="1"/>
    </xf>
    <xf numFmtId="2" fontId="0" fillId="6" borderId="94" xfId="0" applyNumberFormat="1" applyFill="1" applyBorder="1" applyAlignment="1">
      <alignment horizontal="center" wrapText="1"/>
    </xf>
    <xf numFmtId="2" fontId="0" fillId="0" borderId="98" xfId="0" applyNumberFormat="1" applyBorder="1" applyAlignment="1">
      <alignment horizontal="center" wrapText="1"/>
    </xf>
    <xf numFmtId="2" fontId="0" fillId="0" borderId="107" xfId="0" applyNumberFormat="1" applyBorder="1" applyAlignment="1">
      <alignment horizontal="center"/>
    </xf>
    <xf numFmtId="2" fontId="0" fillId="0" borderId="108" xfId="0" applyNumberFormat="1" applyFont="1" applyBorder="1" applyAlignment="1">
      <alignment horizontal="center"/>
    </xf>
    <xf numFmtId="2" fontId="0" fillId="0" borderId="109" xfId="0" applyNumberFormat="1" applyFont="1" applyBorder="1" applyAlignment="1">
      <alignment horizontal="center"/>
    </xf>
    <xf numFmtId="0" fontId="0" fillId="13" borderId="91" xfId="0" applyFill="1" applyBorder="1" applyAlignment="1">
      <alignment/>
    </xf>
    <xf numFmtId="0" fontId="0" fillId="19" borderId="0" xfId="0" applyFill="1" applyAlignment="1">
      <alignment/>
    </xf>
    <xf numFmtId="0" fontId="0" fillId="17" borderId="91" xfId="0" applyFill="1" applyBorder="1" applyAlignment="1" applyProtection="1">
      <alignment wrapText="1"/>
      <protection/>
    </xf>
    <xf numFmtId="2" fontId="0" fillId="20" borderId="93" xfId="0" applyNumberFormat="1" applyFill="1" applyBorder="1" applyAlignment="1">
      <alignment horizontal="center"/>
    </xf>
    <xf numFmtId="2" fontId="0" fillId="0" borderId="110" xfId="0" applyNumberFormat="1" applyBorder="1" applyAlignment="1">
      <alignment horizontal="center"/>
    </xf>
    <xf numFmtId="2" fontId="0" fillId="6" borderId="110" xfId="0" applyNumberFormat="1" applyFill="1" applyBorder="1" applyAlignment="1">
      <alignment horizontal="center"/>
    </xf>
    <xf numFmtId="2" fontId="0" fillId="0" borderId="111" xfId="0" applyNumberForma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5" xfId="0" applyFont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3" fillId="4" borderId="114" xfId="0" applyFont="1" applyFill="1" applyBorder="1" applyAlignment="1">
      <alignment/>
    </xf>
    <xf numFmtId="0" fontId="2" fillId="5" borderId="114" xfId="0" applyFont="1" applyFill="1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Border="1" applyAlignment="1">
      <alignment wrapText="1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5" fillId="0" borderId="114" xfId="0" applyFont="1" applyBorder="1" applyAlignment="1">
      <alignment/>
    </xf>
    <xf numFmtId="0" fontId="5" fillId="0" borderId="118" xfId="0" applyFont="1" applyBorder="1" applyAlignment="1">
      <alignment/>
    </xf>
    <xf numFmtId="0" fontId="5" fillId="0" borderId="115" xfId="0" applyFont="1" applyBorder="1" applyAlignment="1">
      <alignment/>
    </xf>
    <xf numFmtId="0" fontId="2" fillId="0" borderId="119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12" borderId="53" xfId="0" applyNumberFormat="1" applyFont="1" applyFill="1" applyBorder="1" applyAlignment="1">
      <alignment/>
    </xf>
    <xf numFmtId="0" fontId="2" fillId="5" borderId="36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4" borderId="121" xfId="0" applyFill="1" applyBorder="1" applyAlignment="1">
      <alignment horizontal="center"/>
    </xf>
    <xf numFmtId="0" fontId="0" fillId="5" borderId="122" xfId="0" applyFill="1" applyBorder="1" applyAlignment="1">
      <alignment horizontal="center"/>
    </xf>
    <xf numFmtId="2" fontId="0" fillId="0" borderId="123" xfId="0" applyNumberFormat="1" applyBorder="1" applyAlignment="1">
      <alignment horizontal="center"/>
    </xf>
    <xf numFmtId="2" fontId="0" fillId="0" borderId="122" xfId="0" applyNumberFormat="1" applyBorder="1" applyAlignment="1">
      <alignment horizontal="center"/>
    </xf>
    <xf numFmtId="2" fontId="0" fillId="0" borderId="122" xfId="0" applyNumberFormat="1" applyBorder="1" applyAlignment="1">
      <alignment horizontal="center" wrapText="1"/>
    </xf>
    <xf numFmtId="2" fontId="0" fillId="0" borderId="84" xfId="0" applyNumberFormat="1" applyBorder="1" applyAlignment="1">
      <alignment horizontal="center"/>
    </xf>
    <xf numFmtId="2" fontId="0" fillId="0" borderId="86" xfId="0" applyNumberFormat="1" applyBorder="1" applyAlignment="1">
      <alignment horizontal="center"/>
    </xf>
    <xf numFmtId="2" fontId="0" fillId="0" borderId="88" xfId="0" applyNumberFormat="1" applyBorder="1" applyAlignment="1">
      <alignment horizontal="center"/>
    </xf>
    <xf numFmtId="2" fontId="0" fillId="0" borderId="124" xfId="0" applyNumberFormat="1" applyBorder="1" applyAlignment="1">
      <alignment horizontal="center"/>
    </xf>
    <xf numFmtId="2" fontId="0" fillId="0" borderId="125" xfId="0" applyNumberFormat="1" applyBorder="1" applyAlignment="1">
      <alignment horizontal="center"/>
    </xf>
    <xf numFmtId="2" fontId="0" fillId="0" borderId="126" xfId="0" applyNumberFormat="1" applyBorder="1" applyAlignment="1">
      <alignment horizontal="center"/>
    </xf>
    <xf numFmtId="2" fontId="0" fillId="18" borderId="94" xfId="0" applyNumberFormat="1" applyFill="1" applyBorder="1" applyAlignment="1">
      <alignment horizontal="center" wrapText="1"/>
    </xf>
    <xf numFmtId="0" fontId="0" fillId="0" borderId="116" xfId="0" applyBorder="1" applyAlignment="1">
      <alignment/>
    </xf>
    <xf numFmtId="2" fontId="0" fillId="18" borderId="10" xfId="0" applyNumberFormat="1" applyFill="1" applyBorder="1" applyAlignment="1">
      <alignment horizontal="center"/>
    </xf>
    <xf numFmtId="0" fontId="0" fillId="0" borderId="127" xfId="0" applyBorder="1" applyAlignment="1">
      <alignment wrapText="1"/>
    </xf>
    <xf numFmtId="2" fontId="0" fillId="0" borderId="86" xfId="0" applyNumberFormat="1" applyFont="1" applyBorder="1" applyAlignment="1">
      <alignment/>
    </xf>
    <xf numFmtId="2" fontId="0" fillId="0" borderId="86" xfId="0" applyNumberFormat="1" applyFont="1" applyBorder="1" applyAlignment="1">
      <alignment wrapText="1"/>
    </xf>
    <xf numFmtId="0" fontId="3" fillId="14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0" borderId="128" xfId="0" applyBorder="1" applyAlignment="1">
      <alignment wrapText="1"/>
    </xf>
    <xf numFmtId="0" fontId="0" fillId="0" borderId="129" xfId="0" applyBorder="1" applyAlignment="1">
      <alignment wrapText="1"/>
    </xf>
    <xf numFmtId="0" fontId="0" fillId="0" borderId="129" xfId="0" applyFill="1" applyBorder="1" applyAlignment="1">
      <alignment wrapText="1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2" fillId="0" borderId="131" xfId="0" applyFont="1" applyBorder="1" applyAlignment="1">
      <alignment/>
    </xf>
    <xf numFmtId="0" fontId="2" fillId="0" borderId="132" xfId="0" applyFont="1" applyBorder="1" applyAlignment="1">
      <alignment wrapText="1"/>
    </xf>
    <xf numFmtId="0" fontId="2" fillId="0" borderId="133" xfId="0" applyFont="1" applyBorder="1" applyAlignment="1">
      <alignment/>
    </xf>
    <xf numFmtId="0" fontId="2" fillId="0" borderId="134" xfId="0" applyFont="1" applyBorder="1" applyAlignment="1">
      <alignment wrapText="1"/>
    </xf>
    <xf numFmtId="0" fontId="2" fillId="0" borderId="134" xfId="0" applyFont="1" applyBorder="1" applyAlignment="1">
      <alignment/>
    </xf>
    <xf numFmtId="0" fontId="2" fillId="0" borderId="134" xfId="0" applyFont="1" applyBorder="1" applyAlignment="1">
      <alignment/>
    </xf>
    <xf numFmtId="0" fontId="2" fillId="0" borderId="134" xfId="0" applyFont="1" applyFill="1" applyBorder="1" applyAlignment="1">
      <alignment wrapText="1"/>
    </xf>
    <xf numFmtId="0" fontId="2" fillId="0" borderId="135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04"/>
  <sheetViews>
    <sheetView tabSelected="1" workbookViewId="0" topLeftCell="A1">
      <selection activeCell="E65" sqref="E65"/>
    </sheetView>
  </sheetViews>
  <sheetFormatPr defaultColWidth="11.421875" defaultRowHeight="12.75"/>
  <cols>
    <col min="1" max="1" width="38.57421875" style="0" customWidth="1"/>
    <col min="2" max="2" width="14.8515625" style="0" customWidth="1"/>
    <col min="3" max="3" width="13.57421875" style="0" customWidth="1"/>
    <col min="4" max="4" width="24.7109375" style="0" customWidth="1"/>
    <col min="5" max="5" width="16.421875" style="0" customWidth="1"/>
    <col min="6" max="6" width="14.57421875" style="0" customWidth="1"/>
    <col min="7" max="7" width="11.28125" style="0" customWidth="1"/>
    <col min="8" max="8" width="22.57421875" style="0" customWidth="1"/>
    <col min="10" max="10" width="23.140625" style="0" customWidth="1"/>
    <col min="11" max="11" width="20.28125" style="1" customWidth="1"/>
    <col min="12" max="13" width="17.7109375" style="0" customWidth="1"/>
    <col min="14" max="14" width="34.421875" style="0" customWidth="1"/>
    <col min="15" max="15" width="17.7109375" style="2" customWidth="1"/>
    <col min="16" max="16" width="13.421875" style="0" customWidth="1"/>
    <col min="17" max="17" width="10.28125" style="0" customWidth="1"/>
    <col min="18" max="18" width="4.8515625" style="0" customWidth="1"/>
    <col min="19" max="19" width="44.140625" style="0" customWidth="1"/>
    <col min="20" max="20" width="48.57421875" style="0" customWidth="1"/>
    <col min="21" max="21" width="28.8515625" style="0" customWidth="1"/>
    <col min="22" max="25" width="2.00390625" style="0" bestFit="1" customWidth="1"/>
    <col min="26" max="33" width="3.00390625" style="0" bestFit="1" customWidth="1"/>
    <col min="34" max="34" width="6.140625" style="0" bestFit="1" customWidth="1"/>
  </cols>
  <sheetData>
    <row r="3" ht="16.5" thickBot="1">
      <c r="A3" s="243" t="s">
        <v>197</v>
      </c>
    </row>
    <row r="4" spans="1:2" ht="12.75">
      <c r="A4" s="245" t="s">
        <v>107</v>
      </c>
      <c r="B4" s="298">
        <v>20</v>
      </c>
    </row>
    <row r="5" spans="1:7" ht="12.75">
      <c r="A5" s="244" t="s">
        <v>31</v>
      </c>
      <c r="B5" s="296">
        <v>16</v>
      </c>
      <c r="D5" s="2"/>
      <c r="E5" s="2"/>
      <c r="F5" s="2"/>
      <c r="G5" s="2"/>
    </row>
    <row r="6" spans="1:12" ht="12.75">
      <c r="A6" s="297" t="s">
        <v>22</v>
      </c>
      <c r="B6" s="296">
        <v>4</v>
      </c>
      <c r="D6" s="2"/>
      <c r="E6" s="2"/>
      <c r="F6" s="2"/>
      <c r="G6" s="2"/>
      <c r="H6" s="35"/>
      <c r="I6" s="35"/>
      <c r="J6" s="140"/>
      <c r="K6" s="140"/>
      <c r="L6" s="140"/>
    </row>
    <row r="7" spans="1:2" ht="12.75">
      <c r="A7" s="246" t="s">
        <v>201</v>
      </c>
      <c r="B7" s="296">
        <v>12</v>
      </c>
    </row>
    <row r="8" spans="1:3" ht="12.75">
      <c r="A8" s="246" t="s">
        <v>223</v>
      </c>
      <c r="B8" s="296">
        <v>10</v>
      </c>
      <c r="C8" t="s">
        <v>229</v>
      </c>
    </row>
    <row r="9" spans="1:2" ht="13.5" thickBot="1">
      <c r="A9" s="337" t="s">
        <v>224</v>
      </c>
      <c r="B9" s="336">
        <v>6.5</v>
      </c>
    </row>
    <row r="10" spans="1:2" ht="12.75">
      <c r="A10" s="281"/>
      <c r="B10" s="282"/>
    </row>
    <row r="11" spans="1:2" ht="18" customHeight="1" thickBot="1">
      <c r="A11" s="243" t="s">
        <v>202</v>
      </c>
      <c r="B11" s="278"/>
    </row>
    <row r="12" spans="1:3" ht="12.75">
      <c r="A12" s="299" t="s">
        <v>203</v>
      </c>
      <c r="B12" s="314">
        <f>O41</f>
        <v>3.9999999999999996</v>
      </c>
      <c r="C12" s="2" t="s">
        <v>230</v>
      </c>
    </row>
    <row r="13" spans="1:3" ht="12.75">
      <c r="A13" s="300" t="s">
        <v>204</v>
      </c>
      <c r="B13" s="315">
        <f>O40</f>
        <v>744.6256517826928</v>
      </c>
      <c r="C13" s="2" t="s">
        <v>231</v>
      </c>
    </row>
    <row r="14" spans="1:3" ht="12.75">
      <c r="A14" s="300" t="s">
        <v>220</v>
      </c>
      <c r="B14" s="315">
        <f>B12*1000/B13</f>
        <v>5.371826756738346</v>
      </c>
      <c r="C14" s="2" t="s">
        <v>232</v>
      </c>
    </row>
    <row r="15" spans="1:2" ht="12.75">
      <c r="A15" s="300" t="s">
        <v>205</v>
      </c>
      <c r="B15" s="315">
        <f>J44</f>
        <v>79.15643174190046</v>
      </c>
    </row>
    <row r="16" spans="1:2" ht="12.75">
      <c r="A16" s="312" t="s">
        <v>222</v>
      </c>
      <c r="B16" s="316">
        <f>B74</f>
        <v>15.384615384615383</v>
      </c>
    </row>
    <row r="17" spans="1:2" ht="12.75">
      <c r="A17" s="312" t="s">
        <v>226</v>
      </c>
      <c r="B17" s="316">
        <f>B75</f>
        <v>11.188811188811188</v>
      </c>
    </row>
    <row r="18" spans="1:2" ht="12.75">
      <c r="A18" s="312" t="s">
        <v>210</v>
      </c>
      <c r="B18" s="316">
        <f>SQRT(B16)*1.3</f>
        <v>5.0990195135927845</v>
      </c>
    </row>
    <row r="19" spans="1:2" ht="12.75">
      <c r="A19" s="312" t="s">
        <v>211</v>
      </c>
      <c r="B19" s="316">
        <f>B9</f>
        <v>6.5</v>
      </c>
    </row>
    <row r="20" spans="1:3" ht="25.5">
      <c r="A20" s="350" t="s">
        <v>227</v>
      </c>
      <c r="B20" s="316">
        <f>550*POWER(2.718,-(0.83*B9/B18))</f>
        <v>190.94423688556313</v>
      </c>
      <c r="C20" s="349" t="s">
        <v>225</v>
      </c>
    </row>
    <row r="21" spans="1:2" ht="12.75">
      <c r="A21" s="312" t="s">
        <v>228</v>
      </c>
      <c r="B21" s="316">
        <f>(550+B20)/2</f>
        <v>370.47211844278155</v>
      </c>
    </row>
    <row r="22" spans="1:2" ht="13.5" thickBot="1">
      <c r="A22" s="313"/>
      <c r="B22" s="317"/>
    </row>
    <row r="23" spans="1:2" ht="12.75">
      <c r="A23" s="279"/>
      <c r="B23" s="280"/>
    </row>
    <row r="24" spans="1:17" ht="18">
      <c r="A24" s="3" t="s">
        <v>198</v>
      </c>
      <c r="B24" s="4"/>
      <c r="C24" s="4"/>
      <c r="D24" s="4"/>
      <c r="E24" s="5"/>
      <c r="H24" s="3" t="s">
        <v>0</v>
      </c>
      <c r="I24" s="6"/>
      <c r="J24" s="6"/>
      <c r="K24" s="7"/>
      <c r="L24" s="5"/>
      <c r="N24" s="3" t="s">
        <v>1</v>
      </c>
      <c r="O24" s="8"/>
      <c r="P24" s="5"/>
      <c r="Q24" s="259"/>
    </row>
    <row r="26" spans="16:17" ht="12.75">
      <c r="P26" s="152"/>
      <c r="Q26" s="155"/>
    </row>
    <row r="27" spans="8:35" ht="13.5" thickBot="1">
      <c r="H27" s="9" t="s">
        <v>2</v>
      </c>
      <c r="I27" s="5"/>
      <c r="J27" s="8"/>
      <c r="K27" s="10"/>
      <c r="L27" s="11"/>
      <c r="M27" s="11"/>
      <c r="N27" s="12" t="s">
        <v>3</v>
      </c>
      <c r="O27" s="11"/>
      <c r="P27" s="157"/>
      <c r="S27" s="6" t="s">
        <v>4</v>
      </c>
      <c r="U27" s="397" t="s">
        <v>242</v>
      </c>
      <c r="V27" s="397"/>
      <c r="W27" s="397"/>
      <c r="X27" s="397"/>
      <c r="Y27" s="397"/>
      <c r="Z27" s="397"/>
      <c r="AA27" s="397"/>
      <c r="AB27" s="397"/>
      <c r="AC27" s="397"/>
      <c r="AD27" s="259"/>
      <c r="AE27" s="259"/>
      <c r="AF27" s="259"/>
      <c r="AG27" s="259"/>
      <c r="AH27" s="259"/>
      <c r="AI27" s="259"/>
    </row>
    <row r="28" spans="1:29" ht="17.25" customHeight="1" thickBot="1">
      <c r="A28" s="358"/>
      <c r="B28" s="377" t="s">
        <v>5</v>
      </c>
      <c r="C28" s="355" t="s">
        <v>6</v>
      </c>
      <c r="D28" s="356" t="s">
        <v>7</v>
      </c>
      <c r="E28" s="371" t="s">
        <v>8</v>
      </c>
      <c r="F28" s="372"/>
      <c r="H28" s="13"/>
      <c r="I28" s="13"/>
      <c r="J28" s="14"/>
      <c r="K28" s="10"/>
      <c r="L28" s="11"/>
      <c r="M28" s="11"/>
      <c r="N28" s="11"/>
      <c r="O28" s="11"/>
      <c r="P28" s="11"/>
      <c r="U28" s="398"/>
      <c r="V28" s="398"/>
      <c r="W28" s="398"/>
      <c r="X28" s="398"/>
      <c r="Y28" s="398"/>
      <c r="Z28" s="398"/>
      <c r="AA28" s="398"/>
      <c r="AB28" s="398"/>
      <c r="AC28" s="398"/>
    </row>
    <row r="29" spans="1:34" ht="37.5" customHeight="1" thickBot="1">
      <c r="A29" s="359"/>
      <c r="B29" s="378" t="s">
        <v>9</v>
      </c>
      <c r="C29" s="267" t="s">
        <v>10</v>
      </c>
      <c r="D29" s="267" t="s">
        <v>11</v>
      </c>
      <c r="E29" s="267" t="s">
        <v>12</v>
      </c>
      <c r="F29" s="357" t="s">
        <v>13</v>
      </c>
      <c r="H29" s="219" t="s">
        <v>14</v>
      </c>
      <c r="I29" s="220" t="s">
        <v>15</v>
      </c>
      <c r="J29" s="221" t="s">
        <v>16</v>
      </c>
      <c r="K29" s="222" t="s">
        <v>17</v>
      </c>
      <c r="L29" s="223" t="s">
        <v>18</v>
      </c>
      <c r="M29" s="11"/>
      <c r="N29" s="207" t="s">
        <v>19</v>
      </c>
      <c r="O29" s="208"/>
      <c r="P29" s="11"/>
      <c r="Q29" s="35"/>
      <c r="S29" s="19" t="s">
        <v>4</v>
      </c>
      <c r="T29" s="20" t="s">
        <v>20</v>
      </c>
      <c r="U29" s="404" t="s">
        <v>237</v>
      </c>
      <c r="V29" s="406">
        <v>3</v>
      </c>
      <c r="W29" s="407">
        <v>4</v>
      </c>
      <c r="X29" s="408">
        <v>5</v>
      </c>
      <c r="Y29" s="409">
        <v>6</v>
      </c>
      <c r="Z29" s="409">
        <v>7</v>
      </c>
      <c r="AA29" s="409">
        <v>8</v>
      </c>
      <c r="AB29" s="409">
        <v>9</v>
      </c>
      <c r="AC29" s="409">
        <v>10</v>
      </c>
      <c r="AD29" s="409">
        <v>12</v>
      </c>
      <c r="AE29" s="409">
        <v>14</v>
      </c>
      <c r="AF29" s="410">
        <v>16</v>
      </c>
      <c r="AG29" s="410">
        <v>18</v>
      </c>
      <c r="AH29" s="411" t="s">
        <v>239</v>
      </c>
    </row>
    <row r="30" spans="1:34" ht="39" thickBot="1">
      <c r="A30" s="358"/>
      <c r="B30" s="379"/>
      <c r="C30" s="268"/>
      <c r="D30" s="268"/>
      <c r="E30" s="268"/>
      <c r="F30" s="269"/>
      <c r="H30" s="224"/>
      <c r="I30" s="16"/>
      <c r="J30" s="17"/>
      <c r="K30" s="18"/>
      <c r="L30" s="225"/>
      <c r="M30" s="11"/>
      <c r="N30" s="209"/>
      <c r="O30" s="210"/>
      <c r="P30" s="11"/>
      <c r="Q30" s="35"/>
      <c r="S30" s="21"/>
      <c r="T30" t="s">
        <v>21</v>
      </c>
      <c r="U30" s="405" t="s">
        <v>240</v>
      </c>
      <c r="V30" s="399">
        <v>6</v>
      </c>
      <c r="W30" s="400">
        <v>7</v>
      </c>
      <c r="X30" s="400">
        <v>8</v>
      </c>
      <c r="Y30" s="401">
        <v>9</v>
      </c>
      <c r="Z30" s="401">
        <v>10</v>
      </c>
      <c r="AA30" s="401">
        <v>10</v>
      </c>
      <c r="AB30" s="401">
        <v>11</v>
      </c>
      <c r="AC30" s="401">
        <v>11</v>
      </c>
      <c r="AD30" s="401">
        <v>12</v>
      </c>
      <c r="AE30" s="401">
        <v>13</v>
      </c>
      <c r="AF30" s="402">
        <v>14</v>
      </c>
      <c r="AG30" s="402">
        <v>15</v>
      </c>
      <c r="AH30" s="403" t="s">
        <v>241</v>
      </c>
    </row>
    <row r="31" spans="1:21" ht="12.75">
      <c r="A31" s="360" t="s">
        <v>22</v>
      </c>
      <c r="B31" s="380">
        <v>2</v>
      </c>
      <c r="C31" s="262">
        <v>3.4</v>
      </c>
      <c r="D31" s="351">
        <v>4</v>
      </c>
      <c r="E31" s="262">
        <v>10</v>
      </c>
      <c r="F31" s="270">
        <v>16</v>
      </c>
      <c r="H31" s="226"/>
      <c r="I31" s="22" t="s">
        <v>23</v>
      </c>
      <c r="J31" s="35" t="s">
        <v>24</v>
      </c>
      <c r="K31" s="146" t="s">
        <v>25</v>
      </c>
      <c r="L31" s="227" t="s">
        <v>26</v>
      </c>
      <c r="M31" s="23"/>
      <c r="N31" s="211" t="s">
        <v>27</v>
      </c>
      <c r="O31" s="212">
        <f>J44</f>
        <v>79.15643174190046</v>
      </c>
      <c r="P31" s="23"/>
      <c r="Q31" s="159"/>
      <c r="S31" s="24"/>
      <c r="T31" t="s">
        <v>28</v>
      </c>
      <c r="U31" s="15"/>
    </row>
    <row r="32" spans="1:20" ht="12.75">
      <c r="A32" s="361" t="s">
        <v>29</v>
      </c>
      <c r="B32" s="381">
        <v>860</v>
      </c>
      <c r="C32" s="263">
        <v>833.9</v>
      </c>
      <c r="D32" s="264">
        <v>744.63</v>
      </c>
      <c r="E32" s="263">
        <v>750</v>
      </c>
      <c r="F32" s="271">
        <v>760</v>
      </c>
      <c r="H32" s="228" t="s">
        <v>30</v>
      </c>
      <c r="I32" s="26">
        <f>B8/100</f>
        <v>0.1</v>
      </c>
      <c r="J32" s="26">
        <v>1.56</v>
      </c>
      <c r="K32" s="27">
        <f>I32/J32</f>
        <v>0.06410256410256411</v>
      </c>
      <c r="L32" s="229">
        <f aca="true" t="shared" si="0" ref="L32:L37">1/K32</f>
        <v>15.599999999999998</v>
      </c>
      <c r="M32" s="23"/>
      <c r="N32" s="211" t="s">
        <v>31</v>
      </c>
      <c r="O32" s="212">
        <f>B5</f>
        <v>16</v>
      </c>
      <c r="P32" s="23"/>
      <c r="Q32" s="161"/>
      <c r="S32" s="24" t="s">
        <v>32</v>
      </c>
      <c r="T32" t="s">
        <v>33</v>
      </c>
    </row>
    <row r="33" spans="1:24" ht="12.75">
      <c r="A33" s="361" t="s">
        <v>34</v>
      </c>
      <c r="B33" s="381">
        <v>1046</v>
      </c>
      <c r="C33" s="263">
        <v>1046</v>
      </c>
      <c r="D33" s="265">
        <v>1000</v>
      </c>
      <c r="E33" s="263">
        <v>1000</v>
      </c>
      <c r="F33" s="271">
        <v>1000</v>
      </c>
      <c r="H33" s="228" t="s">
        <v>35</v>
      </c>
      <c r="I33" s="25">
        <v>0.03</v>
      </c>
      <c r="J33" s="26">
        <v>0.98</v>
      </c>
      <c r="K33" s="27">
        <f>I33/J33</f>
        <v>0.030612244897959183</v>
      </c>
      <c r="L33" s="229">
        <f t="shared" si="0"/>
        <v>32.666666666666664</v>
      </c>
      <c r="M33" s="23"/>
      <c r="N33" s="211" t="s">
        <v>36</v>
      </c>
      <c r="O33" s="213">
        <f>B6*1000/B13</f>
        <v>5.371826756738346</v>
      </c>
      <c r="P33" s="23"/>
      <c r="Q33" s="162"/>
      <c r="S33" s="24" t="s">
        <v>37</v>
      </c>
      <c r="T33" t="s">
        <v>38</v>
      </c>
      <c r="U33" s="2"/>
      <c r="V33" s="2"/>
      <c r="W33" s="2"/>
      <c r="X33" s="2"/>
    </row>
    <row r="34" spans="1:24" ht="12.75">
      <c r="A34" s="359" t="s">
        <v>207</v>
      </c>
      <c r="B34" s="382">
        <f>B31*1000/B32</f>
        <v>2.3255813953488373</v>
      </c>
      <c r="C34" s="352">
        <v>4.08</v>
      </c>
      <c r="D34" s="353">
        <v>5.37</v>
      </c>
      <c r="E34" s="352">
        <f>E31*1000/E32</f>
        <v>13.333333333333334</v>
      </c>
      <c r="F34" s="354">
        <f>F31*1000/F32</f>
        <v>21.05263157894737</v>
      </c>
      <c r="H34" s="395" t="s">
        <v>39</v>
      </c>
      <c r="I34" s="28"/>
      <c r="J34" s="29"/>
      <c r="K34" s="30">
        <f>SUM(K32:K33)</f>
        <v>0.09471480900052329</v>
      </c>
      <c r="L34" s="229">
        <f t="shared" si="0"/>
        <v>10.558011049723756</v>
      </c>
      <c r="M34" s="23"/>
      <c r="N34" s="214" t="s">
        <v>40</v>
      </c>
      <c r="O34" s="215">
        <v>0.9</v>
      </c>
      <c r="P34" s="23"/>
      <c r="Q34" s="23"/>
      <c r="S34" s="24" t="s">
        <v>41</v>
      </c>
      <c r="T34" t="s">
        <v>42</v>
      </c>
      <c r="U34" s="2"/>
      <c r="V34" s="2"/>
      <c r="W34" s="2"/>
      <c r="X34" s="2"/>
    </row>
    <row r="35" spans="1:24" ht="13.5" thickBot="1">
      <c r="A35" s="362" t="s">
        <v>43</v>
      </c>
      <c r="B35" s="383">
        <f>B34*10000*0.1</f>
        <v>2325.5813953488373</v>
      </c>
      <c r="C35" s="266">
        <f>C34*10000*0.1</f>
        <v>4080</v>
      </c>
      <c r="D35" s="341">
        <f>D34*10000*0.1</f>
        <v>5370</v>
      </c>
      <c r="E35" s="266">
        <f>E34*10000*0.1</f>
        <v>13333.333333333336</v>
      </c>
      <c r="F35" s="272">
        <f>F34*10000*0.1</f>
        <v>21052.631578947374</v>
      </c>
      <c r="H35" s="395" t="s">
        <v>44</v>
      </c>
      <c r="I35" s="28"/>
      <c r="J35" s="29"/>
      <c r="K35" s="30">
        <v>0.25</v>
      </c>
      <c r="L35" s="229">
        <f t="shared" si="0"/>
        <v>4</v>
      </c>
      <c r="M35" s="23"/>
      <c r="N35" s="214" t="s">
        <v>45</v>
      </c>
      <c r="O35" s="215">
        <f>O34*5.67*POWER((273+O31)/100,4)</f>
        <v>784.8163952874204</v>
      </c>
      <c r="P35" s="23"/>
      <c r="Q35" s="23"/>
      <c r="S35" s="31" t="s">
        <v>46</v>
      </c>
      <c r="T35" t="s">
        <v>47</v>
      </c>
      <c r="U35" s="2"/>
      <c r="V35" s="2"/>
      <c r="W35" s="2"/>
      <c r="X35" s="2"/>
    </row>
    <row r="36" spans="1:31" s="15" customFormat="1" ht="26.25" customHeight="1">
      <c r="A36" s="363" t="s">
        <v>206</v>
      </c>
      <c r="B36" s="383">
        <f>B34*10000/50</f>
        <v>465.1162790697675</v>
      </c>
      <c r="C36" s="266">
        <f>C34*10000/45</f>
        <v>906.6666666666666</v>
      </c>
      <c r="D36" s="341">
        <f>D34*10000/50</f>
        <v>1074</v>
      </c>
      <c r="E36" s="266">
        <f>E34*10000/50</f>
        <v>2666.666666666667</v>
      </c>
      <c r="F36" s="272">
        <f>F34*10000/50</f>
        <v>4210.526315789474</v>
      </c>
      <c r="H36" s="396" t="s">
        <v>48</v>
      </c>
      <c r="I36" s="302"/>
      <c r="J36" s="301"/>
      <c r="K36" s="303">
        <v>0.07</v>
      </c>
      <c r="L36" s="304">
        <f t="shared" si="0"/>
        <v>14.285714285714285</v>
      </c>
      <c r="M36" s="305"/>
      <c r="N36" s="306" t="s">
        <v>49</v>
      </c>
      <c r="O36" s="307">
        <f>O34*5.67*POWER((273+O32)/100,4)</f>
        <v>355.97290221423</v>
      </c>
      <c r="P36" s="305"/>
      <c r="Q36" s="305"/>
      <c r="S36" s="308" t="s">
        <v>50</v>
      </c>
      <c r="T36" s="15" t="s">
        <v>51</v>
      </c>
      <c r="U36" s="2"/>
      <c r="V36" s="2"/>
      <c r="W36" s="2"/>
      <c r="X36" s="2"/>
      <c r="Y36"/>
      <c r="Z36"/>
      <c r="AA36"/>
      <c r="AB36"/>
      <c r="AC36"/>
      <c r="AD36"/>
      <c r="AE36"/>
    </row>
    <row r="37" spans="1:31" ht="25.5">
      <c r="A37" s="363" t="s">
        <v>208</v>
      </c>
      <c r="B37" s="384">
        <f>B34*10000/60</f>
        <v>387.59689922480624</v>
      </c>
      <c r="C37" s="342">
        <f>C34*10000/75</f>
        <v>544</v>
      </c>
      <c r="D37" s="343">
        <f>D34*10000/60</f>
        <v>895</v>
      </c>
      <c r="E37" s="342">
        <f>E34*10000/70</f>
        <v>1904.7619047619048</v>
      </c>
      <c r="F37" s="344">
        <f>F34*10000/70</f>
        <v>3007.5187969924814</v>
      </c>
      <c r="H37" s="395" t="s">
        <v>52</v>
      </c>
      <c r="I37" s="28"/>
      <c r="J37" s="29"/>
      <c r="K37" s="30">
        <f>SUM(K34:K36)</f>
        <v>0.4147148090005233</v>
      </c>
      <c r="L37" s="229">
        <f t="shared" si="0"/>
        <v>2.4112956139908137</v>
      </c>
      <c r="M37" s="23"/>
      <c r="N37" s="214" t="s">
        <v>53</v>
      </c>
      <c r="O37" s="215">
        <f>O35-O36</f>
        <v>428.8434930731904</v>
      </c>
      <c r="P37" s="23"/>
      <c r="Q37" s="164"/>
      <c r="R37" s="165"/>
      <c r="S37" s="34" t="s">
        <v>54</v>
      </c>
      <c r="T37" s="15" t="s">
        <v>55</v>
      </c>
      <c r="U37" s="49"/>
      <c r="V37" s="49"/>
      <c r="W37" s="49"/>
      <c r="X37" s="49"/>
      <c r="Y37" s="15"/>
      <c r="Z37" s="15"/>
      <c r="AA37" s="15"/>
      <c r="AB37" s="15"/>
      <c r="AC37" s="15"/>
      <c r="AD37" s="15"/>
      <c r="AE37" s="15"/>
    </row>
    <row r="38" spans="1:24" ht="12.75">
      <c r="A38" s="363" t="s">
        <v>233</v>
      </c>
      <c r="B38" s="384">
        <f>B34*10000/140</f>
        <v>166.11295681063123</v>
      </c>
      <c r="C38" s="342">
        <f>C34*10000/140</f>
        <v>291.42857142857144</v>
      </c>
      <c r="D38" s="391">
        <f>D34*10000/150</f>
        <v>358</v>
      </c>
      <c r="E38" s="342">
        <f>E34*10000/170</f>
        <v>784.3137254901961</v>
      </c>
      <c r="F38" s="344">
        <f>F34*10000/180</f>
        <v>1169.5906432748538</v>
      </c>
      <c r="H38" s="395" t="s">
        <v>56</v>
      </c>
      <c r="I38" s="28"/>
      <c r="J38" s="29" t="s">
        <v>56</v>
      </c>
      <c r="K38" s="30">
        <f>1/K37</f>
        <v>2.4112956139908137</v>
      </c>
      <c r="L38" s="229"/>
      <c r="M38" s="23"/>
      <c r="N38" s="247" t="s">
        <v>57</v>
      </c>
      <c r="O38" s="248">
        <v>5</v>
      </c>
      <c r="P38" s="23"/>
      <c r="Q38" s="161"/>
      <c r="S38" s="34" t="s">
        <v>58</v>
      </c>
      <c r="T38" t="s">
        <v>59</v>
      </c>
      <c r="U38" s="2"/>
      <c r="V38" s="2"/>
      <c r="W38" s="2"/>
      <c r="X38" s="2"/>
    </row>
    <row r="39" spans="1:24" ht="15.75" customHeight="1">
      <c r="A39" s="392" t="s">
        <v>234</v>
      </c>
      <c r="B39" s="388">
        <f>B34*10000/160</f>
        <v>145.34883720930233</v>
      </c>
      <c r="C39" s="39">
        <f>C34*10000/180</f>
        <v>226.66666666666666</v>
      </c>
      <c r="D39" s="393">
        <f>D34*10000/180</f>
        <v>298.3333333333333</v>
      </c>
      <c r="E39" s="39">
        <f>E34*10000/200</f>
        <v>666.6666666666667</v>
      </c>
      <c r="F39" s="345">
        <f>F34*10000/200</f>
        <v>1052.6315789473686</v>
      </c>
      <c r="H39" s="230" t="s">
        <v>65</v>
      </c>
      <c r="I39" s="28"/>
      <c r="J39" s="28"/>
      <c r="K39" s="30"/>
      <c r="L39" s="231"/>
      <c r="M39" s="35"/>
      <c r="N39" s="216" t="s">
        <v>66</v>
      </c>
      <c r="O39" s="215">
        <f>(O31-O32)*O38</f>
        <v>315.7821587095023</v>
      </c>
      <c r="P39" s="35"/>
      <c r="Q39" s="23"/>
      <c r="S39" s="34" t="s">
        <v>67</v>
      </c>
      <c r="T39" t="s">
        <v>68</v>
      </c>
      <c r="U39" s="2"/>
      <c r="V39" s="2"/>
      <c r="W39" s="2"/>
      <c r="X39" s="2"/>
    </row>
    <row r="40" spans="1:24" ht="25.5">
      <c r="A40" s="363" t="s">
        <v>236</v>
      </c>
      <c r="B40" s="383">
        <f>B39/10</f>
        <v>14.534883720930234</v>
      </c>
      <c r="C40" s="266">
        <f>C39/10</f>
        <v>22.666666666666664</v>
      </c>
      <c r="D40" s="341">
        <f>D39/10</f>
        <v>29.833333333333332</v>
      </c>
      <c r="E40" s="266">
        <f>E39/10</f>
        <v>66.66666666666667</v>
      </c>
      <c r="F40" s="272">
        <f>F39/10</f>
        <v>105.26315789473685</v>
      </c>
      <c r="H40" s="230" t="s">
        <v>73</v>
      </c>
      <c r="I40" s="28"/>
      <c r="J40" s="38" t="s">
        <v>74</v>
      </c>
      <c r="K40" s="30" t="s">
        <v>75</v>
      </c>
      <c r="L40" s="231"/>
      <c r="M40" s="35"/>
      <c r="N40" s="214" t="s">
        <v>76</v>
      </c>
      <c r="O40" s="215">
        <f>O39+O37</f>
        <v>744.6256517826928</v>
      </c>
      <c r="P40" s="35"/>
      <c r="Q40" s="23"/>
      <c r="S40" s="34" t="s">
        <v>77</v>
      </c>
      <c r="T40" t="s">
        <v>78</v>
      </c>
      <c r="U40" s="2"/>
      <c r="V40" s="2"/>
      <c r="W40" s="2"/>
      <c r="X40" s="2"/>
    </row>
    <row r="41" spans="1:24" ht="26.25" thickBot="1">
      <c r="A41" s="394" t="s">
        <v>235</v>
      </c>
      <c r="B41" s="385">
        <f>B39/5</f>
        <v>29.069767441860467</v>
      </c>
      <c r="C41" s="338">
        <f>C39/5</f>
        <v>45.33333333333333</v>
      </c>
      <c r="D41" s="339">
        <f>D39/5</f>
        <v>59.666666666666664</v>
      </c>
      <c r="E41" s="338">
        <f>E39/5</f>
        <v>133.33333333333334</v>
      </c>
      <c r="F41" s="340">
        <f>F39/5</f>
        <v>210.5263157894737</v>
      </c>
      <c r="H41" s="230"/>
      <c r="I41" s="28"/>
      <c r="J41" s="28" t="s">
        <v>80</v>
      </c>
      <c r="K41" s="28" t="s">
        <v>80</v>
      </c>
      <c r="L41" s="231"/>
      <c r="M41" s="35"/>
      <c r="N41" s="217" t="s">
        <v>81</v>
      </c>
      <c r="O41" s="218">
        <f>O40*O33/1000</f>
        <v>3.9999999999999996</v>
      </c>
      <c r="P41" s="35"/>
      <c r="Q41" s="23"/>
      <c r="S41" s="34" t="s">
        <v>82</v>
      </c>
      <c r="T41" t="s">
        <v>83</v>
      </c>
      <c r="U41" s="2"/>
      <c r="V41" s="2"/>
      <c r="W41" s="2"/>
      <c r="X41" s="2"/>
    </row>
    <row r="42" spans="1:24" ht="13.5" thickBot="1">
      <c r="A42" s="364" t="s">
        <v>60</v>
      </c>
      <c r="B42" s="386">
        <v>6</v>
      </c>
      <c r="C42" s="32" t="s">
        <v>61</v>
      </c>
      <c r="D42" s="33" t="s">
        <v>62</v>
      </c>
      <c r="E42" s="32" t="s">
        <v>63</v>
      </c>
      <c r="F42" s="273" t="s">
        <v>64</v>
      </c>
      <c r="H42" s="230" t="s">
        <v>219</v>
      </c>
      <c r="I42" s="28"/>
      <c r="J42" s="26">
        <f>B21</f>
        <v>370.47211844278155</v>
      </c>
      <c r="K42" s="30"/>
      <c r="L42" s="231"/>
      <c r="M42" s="35"/>
      <c r="N42" s="35"/>
      <c r="O42" s="23"/>
      <c r="P42" s="23"/>
      <c r="Q42" s="35"/>
      <c r="S42" s="43" t="s">
        <v>88</v>
      </c>
      <c r="T42" t="s">
        <v>89</v>
      </c>
      <c r="U42" s="2"/>
      <c r="V42" s="2"/>
      <c r="W42" s="2"/>
      <c r="X42" s="2"/>
    </row>
    <row r="43" spans="1:24" ht="13.5" thickBot="1">
      <c r="A43" s="365" t="s">
        <v>69</v>
      </c>
      <c r="B43" s="387">
        <v>12</v>
      </c>
      <c r="C43" s="274">
        <v>12</v>
      </c>
      <c r="D43" s="275" t="s">
        <v>70</v>
      </c>
      <c r="E43" s="274" t="s">
        <v>71</v>
      </c>
      <c r="F43" s="276" t="s">
        <v>72</v>
      </c>
      <c r="H43" s="230" t="s">
        <v>30</v>
      </c>
      <c r="I43" s="28"/>
      <c r="J43" s="29">
        <f>J42+1-K38*(K35+K32)*(J42-J45)</f>
        <v>106.0265913957927</v>
      </c>
      <c r="K43" s="30">
        <f>J42-J43</f>
        <v>264.44552704698884</v>
      </c>
      <c r="L43" s="231"/>
      <c r="M43" s="35"/>
      <c r="N43" s="142"/>
      <c r="O43" s="143"/>
      <c r="P43" s="144"/>
      <c r="Q43" s="35"/>
      <c r="S43" s="44" t="s">
        <v>95</v>
      </c>
      <c r="T43" t="s">
        <v>96</v>
      </c>
      <c r="U43" s="2"/>
      <c r="V43" s="2"/>
      <c r="W43" s="2"/>
      <c r="X43" s="2"/>
    </row>
    <row r="44" spans="1:24" ht="13.5" thickBot="1">
      <c r="A44" s="366" t="s">
        <v>79</v>
      </c>
      <c r="B44" s="388"/>
      <c r="C44" s="39"/>
      <c r="D44" s="40"/>
      <c r="E44" s="39"/>
      <c r="F44" s="345"/>
      <c r="H44" s="230" t="s">
        <v>100</v>
      </c>
      <c r="I44" s="28"/>
      <c r="J44" s="29">
        <f>J42-K38*(K35+K32+K33)*(J42-J45)</f>
        <v>79.15643174190046</v>
      </c>
      <c r="K44" s="30">
        <f>J43-J44</f>
        <v>26.870159653892244</v>
      </c>
      <c r="L44" s="231"/>
      <c r="M44" s="152"/>
      <c r="N44" s="260"/>
      <c r="O44" s="23"/>
      <c r="P44" s="35"/>
      <c r="S44" s="45" t="s">
        <v>101</v>
      </c>
      <c r="T44" t="s">
        <v>102</v>
      </c>
      <c r="U44" s="2"/>
      <c r="V44" s="2"/>
      <c r="W44" s="2"/>
      <c r="X44" s="2"/>
    </row>
    <row r="45" spans="1:24" ht="13.5" thickBot="1">
      <c r="A45" s="367" t="s">
        <v>84</v>
      </c>
      <c r="B45" s="389">
        <v>8.5</v>
      </c>
      <c r="C45" s="41" t="s">
        <v>85</v>
      </c>
      <c r="D45" s="42" t="s">
        <v>86</v>
      </c>
      <c r="E45" s="41" t="s">
        <v>64</v>
      </c>
      <c r="F45" s="346" t="s">
        <v>87</v>
      </c>
      <c r="H45" s="232" t="s">
        <v>107</v>
      </c>
      <c r="I45" s="233"/>
      <c r="J45" s="234">
        <f>B4</f>
        <v>20</v>
      </c>
      <c r="K45" s="235">
        <f>SUM(K43:K44)</f>
        <v>291.3156867008811</v>
      </c>
      <c r="L45" s="236"/>
      <c r="M45" s="152"/>
      <c r="N45" s="261"/>
      <c r="O45" s="250"/>
      <c r="P45" s="35"/>
      <c r="S45" s="46" t="s">
        <v>108</v>
      </c>
      <c r="T45" t="s">
        <v>109</v>
      </c>
      <c r="U45" s="2"/>
      <c r="V45" s="2"/>
      <c r="W45" s="2"/>
      <c r="X45" s="2"/>
    </row>
    <row r="46" spans="1:24" ht="27" customHeight="1">
      <c r="A46" s="364" t="s">
        <v>90</v>
      </c>
      <c r="B46" s="386">
        <v>7</v>
      </c>
      <c r="C46" s="32" t="s">
        <v>91</v>
      </c>
      <c r="D46" s="33" t="s">
        <v>92</v>
      </c>
      <c r="E46" s="32" t="s">
        <v>93</v>
      </c>
      <c r="F46" s="273" t="s">
        <v>94</v>
      </c>
      <c r="G46" s="152"/>
      <c r="H46" s="201"/>
      <c r="I46" s="202"/>
      <c r="J46" s="203"/>
      <c r="K46" s="186"/>
      <c r="L46" s="35"/>
      <c r="M46" s="148"/>
      <c r="N46" s="254"/>
      <c r="O46" s="251"/>
      <c r="S46" s="47" t="s">
        <v>111</v>
      </c>
      <c r="T46" t="s">
        <v>112</v>
      </c>
      <c r="U46" s="2"/>
      <c r="V46" s="2"/>
      <c r="W46" s="2"/>
      <c r="X46" s="2"/>
    </row>
    <row r="47" spans="1:24" ht="12.75">
      <c r="A47" s="364" t="s">
        <v>97</v>
      </c>
      <c r="B47" s="386">
        <v>6</v>
      </c>
      <c r="C47" s="32" t="s">
        <v>98</v>
      </c>
      <c r="D47" s="33" t="s">
        <v>91</v>
      </c>
      <c r="E47" s="32" t="s">
        <v>99</v>
      </c>
      <c r="F47" s="273" t="s">
        <v>93</v>
      </c>
      <c r="G47" s="152"/>
      <c r="H47" s="152"/>
      <c r="I47" s="152"/>
      <c r="J47" s="196"/>
      <c r="K47" s="55"/>
      <c r="L47" s="35"/>
      <c r="M47" s="152"/>
      <c r="N47" s="238"/>
      <c r="O47" s="252"/>
      <c r="S47" s="249" t="s">
        <v>199</v>
      </c>
      <c r="T47" t="s">
        <v>116</v>
      </c>
      <c r="U47" s="2"/>
      <c r="V47" s="2"/>
      <c r="W47" s="2"/>
      <c r="X47" s="2"/>
    </row>
    <row r="48" spans="1:24" ht="13.5" thickBot="1">
      <c r="A48" s="364" t="s">
        <v>103</v>
      </c>
      <c r="B48" s="386">
        <v>4.5</v>
      </c>
      <c r="C48" s="32" t="s">
        <v>104</v>
      </c>
      <c r="D48" s="33" t="s">
        <v>105</v>
      </c>
      <c r="E48" s="32" t="s">
        <v>106</v>
      </c>
      <c r="F48" s="273" t="s">
        <v>91</v>
      </c>
      <c r="G48" s="152"/>
      <c r="H48" s="194"/>
      <c r="I48" s="194"/>
      <c r="J48" s="197"/>
      <c r="K48" s="10"/>
      <c r="L48" s="11"/>
      <c r="M48" s="153"/>
      <c r="N48" s="185"/>
      <c r="O48" s="242"/>
      <c r="P48" s="11"/>
      <c r="S48" s="48" t="s">
        <v>118</v>
      </c>
      <c r="T48" t="s">
        <v>119</v>
      </c>
      <c r="U48" s="2"/>
      <c r="V48" s="2"/>
      <c r="W48" s="2"/>
      <c r="X48" s="2"/>
    </row>
    <row r="49" spans="1:24" ht="12.75">
      <c r="A49" s="348" t="s">
        <v>223</v>
      </c>
      <c r="B49" s="386">
        <v>6</v>
      </c>
      <c r="C49" s="32" t="s">
        <v>106</v>
      </c>
      <c r="D49" s="33" t="s">
        <v>92</v>
      </c>
      <c r="E49" s="32" t="s">
        <v>94</v>
      </c>
      <c r="F49" s="273" t="s">
        <v>110</v>
      </c>
      <c r="G49" s="152"/>
      <c r="H49" s="152"/>
      <c r="I49" s="195"/>
      <c r="J49" s="145"/>
      <c r="K49" s="146"/>
      <c r="L49" s="141"/>
      <c r="M49" s="171"/>
      <c r="N49" s="160"/>
      <c r="O49" s="242"/>
      <c r="P49" s="23"/>
      <c r="T49" t="s">
        <v>121</v>
      </c>
      <c r="U49" s="2"/>
      <c r="V49" s="2"/>
      <c r="W49" s="2"/>
      <c r="X49" s="2"/>
    </row>
    <row r="50" spans="1:24" ht="12.75">
      <c r="A50" s="368" t="s">
        <v>113</v>
      </c>
      <c r="B50" s="386">
        <v>9</v>
      </c>
      <c r="C50" s="32" t="s">
        <v>62</v>
      </c>
      <c r="D50" s="33" t="s">
        <v>63</v>
      </c>
      <c r="E50" s="32" t="s">
        <v>114</v>
      </c>
      <c r="F50" s="273" t="s">
        <v>115</v>
      </c>
      <c r="G50" s="152"/>
      <c r="H50" s="192"/>
      <c r="I50" s="198"/>
      <c r="J50" s="177"/>
      <c r="K50" s="55"/>
      <c r="L50" s="141"/>
      <c r="M50" s="171"/>
      <c r="N50" s="160"/>
      <c r="O50" s="242"/>
      <c r="P50" s="149"/>
      <c r="T50" t="s">
        <v>123</v>
      </c>
      <c r="U50" s="2"/>
      <c r="V50" s="2"/>
      <c r="W50" s="2"/>
      <c r="X50" s="2"/>
    </row>
    <row r="51" spans="1:24" ht="13.5" thickBot="1">
      <c r="A51" s="369" t="s">
        <v>117</v>
      </c>
      <c r="B51" s="390">
        <f>110*B34</f>
        <v>255.8139534883721</v>
      </c>
      <c r="C51" s="36">
        <f>125*C34</f>
        <v>510</v>
      </c>
      <c r="D51" s="37">
        <f>165*D34</f>
        <v>886.0500000000001</v>
      </c>
      <c r="E51" s="36">
        <f>200*E34</f>
        <v>2666.666666666667</v>
      </c>
      <c r="F51" s="347">
        <f>220*F34</f>
        <v>4631.578947368422</v>
      </c>
      <c r="G51" s="152"/>
      <c r="H51" s="193"/>
      <c r="I51" s="199"/>
      <c r="J51" s="199"/>
      <c r="K51" s="186"/>
      <c r="L51" s="141"/>
      <c r="M51" s="171"/>
      <c r="N51" s="160"/>
      <c r="O51" s="242"/>
      <c r="P51" s="166"/>
      <c r="T51" t="s">
        <v>238</v>
      </c>
      <c r="U51" s="2"/>
      <c r="V51" s="2"/>
      <c r="W51" s="49"/>
      <c r="X51" s="2"/>
    </row>
    <row r="52" spans="1:24" ht="13.5" thickBot="1">
      <c r="A52" s="366" t="s">
        <v>120</v>
      </c>
      <c r="B52" s="388"/>
      <c r="C52" s="39"/>
      <c r="D52" s="40"/>
      <c r="E52" s="39"/>
      <c r="F52" s="345"/>
      <c r="G52" s="152"/>
      <c r="H52" s="192"/>
      <c r="I52" s="198"/>
      <c r="J52" s="198"/>
      <c r="K52" s="55"/>
      <c r="L52" s="141"/>
      <c r="M52" s="171"/>
      <c r="N52" s="253"/>
      <c r="O52" s="171"/>
      <c r="P52" s="141"/>
      <c r="U52" s="2"/>
      <c r="V52" s="2"/>
      <c r="W52" s="2"/>
      <c r="X52" s="2"/>
    </row>
    <row r="53" spans="1:16" ht="12.75">
      <c r="A53" s="367" t="s">
        <v>122</v>
      </c>
      <c r="B53" s="389">
        <f>B34*10000/230</f>
        <v>101.11223458038424</v>
      </c>
      <c r="C53" s="41">
        <f>C34*10000/230</f>
        <v>177.3913043478261</v>
      </c>
      <c r="D53" s="42">
        <f>D34*10000/230</f>
        <v>233.47826086956522</v>
      </c>
      <c r="E53" s="41">
        <f>E34*10000/230</f>
        <v>579.7101449275362</v>
      </c>
      <c r="F53" s="346">
        <f>F34*10000/230</f>
        <v>915.3318077803204</v>
      </c>
      <c r="G53" s="152"/>
      <c r="H53" s="193"/>
      <c r="I53" s="199"/>
      <c r="J53" s="176"/>
      <c r="K53" s="186"/>
      <c r="L53" s="141"/>
      <c r="M53" s="23"/>
      <c r="N53" s="179"/>
      <c r="O53" s="147"/>
      <c r="P53" s="163"/>
    </row>
    <row r="54" spans="1:16" ht="12.75">
      <c r="A54" s="364" t="s">
        <v>124</v>
      </c>
      <c r="B54" s="386">
        <f>B34*10000/150</f>
        <v>155.0387596899225</v>
      </c>
      <c r="C54" s="32">
        <f>C34*10000/150</f>
        <v>272</v>
      </c>
      <c r="D54" s="33">
        <f>D34*10000/150</f>
        <v>358</v>
      </c>
      <c r="E54" s="32">
        <f>E34*10000/150</f>
        <v>888.8888888888889</v>
      </c>
      <c r="F54" s="273">
        <f>F34*10000/150</f>
        <v>1403.5087719298247</v>
      </c>
      <c r="G54" s="152"/>
      <c r="H54" s="200"/>
      <c r="I54" s="152"/>
      <c r="J54" s="169"/>
      <c r="K54" s="55"/>
      <c r="L54" s="141"/>
      <c r="M54" s="23"/>
      <c r="N54" s="160"/>
      <c r="O54" s="177"/>
      <c r="P54" s="172"/>
    </row>
    <row r="55" spans="1:16" ht="12.75">
      <c r="A55" s="364" t="s">
        <v>125</v>
      </c>
      <c r="B55" s="386">
        <f>B34*10000/200</f>
        <v>116.27906976744187</v>
      </c>
      <c r="C55" s="32">
        <f>C34*10000/200</f>
        <v>204</v>
      </c>
      <c r="D55" s="33">
        <f>D34*10000/200</f>
        <v>268.5</v>
      </c>
      <c r="E55" s="32">
        <f>E34*10000/200</f>
        <v>666.6666666666667</v>
      </c>
      <c r="F55" s="273">
        <f>F34*10000/200</f>
        <v>1052.6315789473686</v>
      </c>
      <c r="G55" s="152"/>
      <c r="H55" s="200"/>
      <c r="I55" s="152"/>
      <c r="J55" s="169"/>
      <c r="K55" s="55"/>
      <c r="L55" s="141"/>
      <c r="M55" s="23"/>
      <c r="N55" s="169"/>
      <c r="O55" s="23"/>
      <c r="P55" s="141"/>
    </row>
    <row r="56" spans="1:22" ht="12.75">
      <c r="A56" s="364" t="s">
        <v>126</v>
      </c>
      <c r="B56" s="386">
        <f>B34*10000/250</f>
        <v>93.0232558139535</v>
      </c>
      <c r="C56" s="32">
        <f>C34*10000/250</f>
        <v>163.2</v>
      </c>
      <c r="D56" s="33">
        <f>D34*10000/250</f>
        <v>214.8</v>
      </c>
      <c r="E56" s="32">
        <f>E34*10000/250</f>
        <v>533.3333333333334</v>
      </c>
      <c r="F56" s="273">
        <f>F34*10000/250</f>
        <v>842.1052631578948</v>
      </c>
      <c r="H56" s="145"/>
      <c r="I56" s="35"/>
      <c r="J56" s="169"/>
      <c r="K56" s="55"/>
      <c r="L56" s="141"/>
      <c r="M56" s="173"/>
      <c r="N56" s="242"/>
      <c r="O56" s="161"/>
      <c r="P56" s="147"/>
      <c r="S56" s="50"/>
      <c r="U56" s="10"/>
      <c r="V56" s="11"/>
    </row>
    <row r="57" spans="1:22" ht="15.75">
      <c r="A57" s="364" t="s">
        <v>127</v>
      </c>
      <c r="B57" s="386">
        <f>B34*10000/2000</f>
        <v>11.627906976744187</v>
      </c>
      <c r="C57" s="32">
        <f>C34*10000/2000</f>
        <v>20.4</v>
      </c>
      <c r="D57" s="33">
        <f>D34*10000/2000</f>
        <v>26.85</v>
      </c>
      <c r="E57" s="32">
        <f>E34*10000/2000</f>
        <v>66.66666666666667</v>
      </c>
      <c r="F57" s="273">
        <f>F34*10000/2000</f>
        <v>105.26315789473685</v>
      </c>
      <c r="H57" s="145"/>
      <c r="I57" s="35"/>
      <c r="J57" s="141"/>
      <c r="K57" s="55"/>
      <c r="L57" s="141"/>
      <c r="M57" s="23"/>
      <c r="N57" s="171"/>
      <c r="O57" s="23"/>
      <c r="P57" s="23"/>
      <c r="S57" s="52"/>
      <c r="U57" s="10"/>
      <c r="V57" s="11"/>
    </row>
    <row r="58" spans="1:22" ht="15.75">
      <c r="A58" s="364" t="s">
        <v>128</v>
      </c>
      <c r="B58" s="386">
        <f>B34*10000/400</f>
        <v>58.139534883720934</v>
      </c>
      <c r="C58" s="32">
        <f>C34*10000/400</f>
        <v>102</v>
      </c>
      <c r="D58" s="33">
        <f>D34*10000/400</f>
        <v>134.25</v>
      </c>
      <c r="E58" s="32">
        <f>E34*10000/400</f>
        <v>333.33333333333337</v>
      </c>
      <c r="F58" s="273">
        <f>F34*10000/400</f>
        <v>526.3157894736843</v>
      </c>
      <c r="H58" s="145"/>
      <c r="I58" s="35"/>
      <c r="J58" s="23"/>
      <c r="K58" s="55"/>
      <c r="L58" s="141"/>
      <c r="M58" s="23"/>
      <c r="N58" s="167"/>
      <c r="O58" s="23"/>
      <c r="P58" s="23"/>
      <c r="S58" s="52"/>
      <c r="U58" s="53"/>
      <c r="V58" s="11"/>
    </row>
    <row r="59" spans="1:22" ht="16.5" thickBot="1">
      <c r="A59" s="370" t="s">
        <v>129</v>
      </c>
      <c r="B59" s="387">
        <f>2*SQRT(B58/3.14)</f>
        <v>8.605992200943586</v>
      </c>
      <c r="C59" s="274">
        <f>2*SQRT(C58/3.14)</f>
        <v>11.39896073036854</v>
      </c>
      <c r="D59" s="275">
        <f>2*SQRT(D58/3.14)</f>
        <v>13.077427433568683</v>
      </c>
      <c r="E59" s="274">
        <f>2*SQRT(E58/3.14)</f>
        <v>20.60651474913109</v>
      </c>
      <c r="F59" s="276">
        <f>2*SQRT(F58/3.14)</f>
        <v>25.893357716832075</v>
      </c>
      <c r="H59" s="155"/>
      <c r="I59" s="35"/>
      <c r="J59" s="183"/>
      <c r="K59" s="186"/>
      <c r="L59" s="35"/>
      <c r="M59" s="35"/>
      <c r="N59" s="157"/>
      <c r="O59" s="157"/>
      <c r="S59" s="52"/>
      <c r="T59" s="14"/>
      <c r="U59" s="54"/>
      <c r="V59" s="11"/>
    </row>
    <row r="60" spans="2:22" ht="15.75">
      <c r="B60" s="51"/>
      <c r="C60" s="51"/>
      <c r="D60" s="51"/>
      <c r="E60" s="51"/>
      <c r="F60" s="51"/>
      <c r="G60" s="152"/>
      <c r="H60" s="151"/>
      <c r="I60" s="237"/>
      <c r="J60" s="255"/>
      <c r="K60" s="55"/>
      <c r="L60" s="35"/>
      <c r="M60" s="35"/>
      <c r="N60" s="238"/>
      <c r="O60" s="238"/>
      <c r="Q60" s="56"/>
      <c r="S60" s="52"/>
      <c r="T60" s="14"/>
      <c r="U60" s="54"/>
      <c r="V60" s="11"/>
    </row>
    <row r="61" spans="1:22" ht="15.75">
      <c r="A61" t="s">
        <v>130</v>
      </c>
      <c r="B61" s="35"/>
      <c r="C61" s="35"/>
      <c r="G61" s="152"/>
      <c r="H61" s="187"/>
      <c r="I61" s="204"/>
      <c r="J61" s="256"/>
      <c r="K61" s="188"/>
      <c r="L61" s="13"/>
      <c r="M61" s="13"/>
      <c r="N61" s="160"/>
      <c r="O61" s="160"/>
      <c r="Q61" s="56"/>
      <c r="S61" s="52"/>
      <c r="T61" s="59"/>
      <c r="U61" s="57"/>
      <c r="V61" s="11"/>
    </row>
    <row r="62" spans="1:22" ht="15.75">
      <c r="A62" s="35" t="s">
        <v>131</v>
      </c>
      <c r="H62" s="13"/>
      <c r="I62" s="257"/>
      <c r="J62" s="257"/>
      <c r="K62" s="187"/>
      <c r="L62" s="13"/>
      <c r="M62" s="13"/>
      <c r="N62" s="160"/>
      <c r="O62" s="160"/>
      <c r="Q62" s="56"/>
      <c r="S62" s="61"/>
      <c r="T62" s="62"/>
      <c r="U62" s="60"/>
      <c r="V62" s="23"/>
    </row>
    <row r="63" spans="1:22" ht="15.75">
      <c r="A63" t="s">
        <v>132</v>
      </c>
      <c r="G63" s="152"/>
      <c r="H63" s="35"/>
      <c r="I63" s="148"/>
      <c r="J63" s="198"/>
      <c r="K63" s="190"/>
      <c r="L63" s="35"/>
      <c r="M63" s="35"/>
      <c r="N63" s="160"/>
      <c r="O63" s="160"/>
      <c r="P63" s="206"/>
      <c r="Q63" s="56"/>
      <c r="S63" s="52"/>
      <c r="T63" s="62"/>
      <c r="U63" s="63"/>
      <c r="V63" s="23"/>
    </row>
    <row r="64" spans="1:31" s="35" customFormat="1" ht="15.75">
      <c r="A64" s="58" t="s">
        <v>133</v>
      </c>
      <c r="B64"/>
      <c r="C64"/>
      <c r="D64"/>
      <c r="E64"/>
      <c r="F64"/>
      <c r="G64" s="169"/>
      <c r="H64" s="55"/>
      <c r="K64" s="160"/>
      <c r="L64" s="239"/>
      <c r="M64" s="174"/>
      <c r="N64" s="56"/>
      <c r="P64" s="52"/>
      <c r="Q64" s="66"/>
      <c r="R64" s="67"/>
      <c r="S64" s="23"/>
      <c r="U64" s="63"/>
      <c r="V64" s="23"/>
      <c r="W64"/>
      <c r="X64"/>
      <c r="Y64"/>
      <c r="Z64"/>
      <c r="AA64"/>
      <c r="AB64"/>
      <c r="AC64"/>
      <c r="AD64"/>
      <c r="AE64"/>
    </row>
    <row r="65" spans="1:31" ht="15.75">
      <c r="A65" s="35"/>
      <c r="G65" s="141"/>
      <c r="H65" s="55"/>
      <c r="I65" s="35"/>
      <c r="J65" s="35"/>
      <c r="K65" s="374"/>
      <c r="L65" s="374"/>
      <c r="M65" s="183"/>
      <c r="N65" s="56"/>
      <c r="O65"/>
      <c r="P65" s="52"/>
      <c r="Q65" s="68"/>
      <c r="R65" s="55"/>
      <c r="S65" s="2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19" ht="16.5" thickBot="1">
      <c r="A66" s="277" t="s">
        <v>200</v>
      </c>
      <c r="B66" s="64"/>
      <c r="D66" s="152"/>
      <c r="E66" s="174"/>
      <c r="F66" s="152"/>
      <c r="G66" s="141"/>
      <c r="H66" s="55"/>
      <c r="I66" s="35"/>
      <c r="J66" s="35"/>
      <c r="K66" s="160"/>
      <c r="L66" s="240"/>
      <c r="M66" s="174"/>
      <c r="N66" s="56"/>
      <c r="O66"/>
      <c r="P66" s="52"/>
      <c r="Q66" s="71"/>
      <c r="R66" s="55"/>
      <c r="S66" s="23"/>
    </row>
    <row r="67" spans="1:19" ht="15.75">
      <c r="A67" s="327"/>
      <c r="B67" s="322"/>
      <c r="D67" s="152"/>
      <c r="E67" s="168"/>
      <c r="F67" s="35"/>
      <c r="G67" s="163"/>
      <c r="H67" s="55"/>
      <c r="I67" s="35"/>
      <c r="J67" s="35"/>
      <c r="K67" s="258"/>
      <c r="L67" s="241"/>
      <c r="N67" s="205"/>
      <c r="O67" s="178"/>
      <c r="P67" s="52"/>
      <c r="Q67" s="72"/>
      <c r="R67" s="55"/>
      <c r="S67" s="23"/>
    </row>
    <row r="68" spans="1:19" ht="13.5" thickBot="1">
      <c r="A68" s="333" t="s">
        <v>134</v>
      </c>
      <c r="B68" s="334"/>
      <c r="D68" s="152"/>
      <c r="E68" s="192"/>
      <c r="F68" s="174"/>
      <c r="G68" s="189"/>
      <c r="H68" s="55"/>
      <c r="I68" s="35"/>
      <c r="J68" s="35"/>
      <c r="K68" s="157"/>
      <c r="L68" s="170"/>
      <c r="N68" s="56"/>
      <c r="O68" s="178"/>
      <c r="P68" s="73"/>
      <c r="Q68" s="74"/>
      <c r="R68" s="55"/>
      <c r="S68" s="23"/>
    </row>
    <row r="69" spans="1:19" ht="12.75">
      <c r="A69" s="332" t="s">
        <v>209</v>
      </c>
      <c r="B69" s="335">
        <f>B6</f>
        <v>4</v>
      </c>
      <c r="D69" s="152"/>
      <c r="E69" s="193"/>
      <c r="F69" s="183"/>
      <c r="H69" s="1"/>
      <c r="J69" s="35"/>
      <c r="K69" s="160"/>
      <c r="L69" s="177"/>
      <c r="N69" s="56"/>
      <c r="O69" s="178"/>
      <c r="P69" s="75"/>
      <c r="Q69" s="23"/>
      <c r="R69" s="55"/>
      <c r="S69" s="35"/>
    </row>
    <row r="70" spans="1:19" ht="12.75">
      <c r="A70" s="328" t="s">
        <v>136</v>
      </c>
      <c r="B70" s="324">
        <f>B7</f>
        <v>12</v>
      </c>
      <c r="C70" s="35"/>
      <c r="D70" s="152"/>
      <c r="E70" s="192"/>
      <c r="F70" s="191"/>
      <c r="H70" s="1"/>
      <c r="J70" s="35"/>
      <c r="K70" s="158"/>
      <c r="L70" s="176"/>
      <c r="N70" s="56"/>
      <c r="O70"/>
      <c r="P70" s="35"/>
      <c r="Q70" s="23"/>
      <c r="R70" s="55"/>
      <c r="S70" s="35"/>
    </row>
    <row r="71" spans="1:19" ht="12.75">
      <c r="A71" s="329" t="s">
        <v>137</v>
      </c>
      <c r="B71" s="323">
        <f>B69*B70</f>
        <v>48</v>
      </c>
      <c r="C71" s="320"/>
      <c r="D71" s="152"/>
      <c r="E71" s="152"/>
      <c r="F71" s="152"/>
      <c r="H71" s="1"/>
      <c r="J71" s="35"/>
      <c r="K71" s="242"/>
      <c r="L71" s="162"/>
      <c r="N71" s="56"/>
      <c r="O71"/>
      <c r="P71" s="35"/>
      <c r="Q71" s="23"/>
      <c r="R71" s="35"/>
      <c r="S71" s="35"/>
    </row>
    <row r="72" spans="1:20" ht="12.75">
      <c r="A72" s="328" t="s">
        <v>138</v>
      </c>
      <c r="B72" s="324">
        <v>0.78</v>
      </c>
      <c r="C72" s="321"/>
      <c r="D72" s="152"/>
      <c r="F72" s="152"/>
      <c r="N72" s="169"/>
      <c r="O72" s="23"/>
      <c r="Q72" s="56"/>
      <c r="S72" s="35"/>
      <c r="T72" s="23"/>
    </row>
    <row r="73" spans="1:22" ht="12.75">
      <c r="A73" s="328" t="s">
        <v>139</v>
      </c>
      <c r="B73" s="324">
        <v>4</v>
      </c>
      <c r="C73" s="77"/>
      <c r="D73" s="152"/>
      <c r="N73" s="141"/>
      <c r="O73" s="23"/>
      <c r="Q73" s="56"/>
      <c r="S73" s="35"/>
      <c r="T73" s="23"/>
      <c r="U73" s="81"/>
      <c r="V73" s="35"/>
    </row>
    <row r="74" spans="1:22" ht="12.75">
      <c r="A74" s="330" t="s">
        <v>222</v>
      </c>
      <c r="B74" s="325">
        <f>B71/(B73*B72)</f>
        <v>15.384615384615383</v>
      </c>
      <c r="N74" s="141"/>
      <c r="O74" s="23"/>
      <c r="Q74" s="56"/>
      <c r="S74" s="35"/>
      <c r="T74" s="23"/>
      <c r="U74" s="81"/>
      <c r="V74" s="35"/>
    </row>
    <row r="75" spans="1:22" ht="13.5" thickBot="1">
      <c r="A75" s="331" t="s">
        <v>221</v>
      </c>
      <c r="B75" s="326">
        <f>B71/(5.5*B72)</f>
        <v>11.188811188811188</v>
      </c>
      <c r="N75" s="141"/>
      <c r="O75" s="23"/>
      <c r="Q75" s="56"/>
      <c r="S75" s="35"/>
      <c r="T75" s="35"/>
      <c r="U75" s="81"/>
      <c r="V75" s="35"/>
    </row>
    <row r="76" spans="1:22" ht="12.75">
      <c r="A76" s="319"/>
      <c r="B76" s="318"/>
      <c r="N76" s="141"/>
      <c r="O76" s="23"/>
      <c r="S76" s="35"/>
      <c r="T76" s="83"/>
      <c r="U76" s="82"/>
      <c r="V76" s="35"/>
    </row>
    <row r="77" spans="1:22" ht="12.75">
      <c r="A77" s="80" t="s">
        <v>141</v>
      </c>
      <c r="N77" s="179"/>
      <c r="O77" s="147"/>
      <c r="P77" s="174"/>
      <c r="S77" s="35"/>
      <c r="T77" s="84"/>
      <c r="U77" s="82"/>
      <c r="V77" s="35"/>
    </row>
    <row r="78" spans="1:22" ht="12.75">
      <c r="A78" s="148"/>
      <c r="N78" s="175"/>
      <c r="O78" s="176"/>
      <c r="S78" s="35"/>
      <c r="T78" s="85"/>
      <c r="U78" s="67"/>
      <c r="V78" s="35"/>
    </row>
    <row r="79" spans="1:20" ht="12.75">
      <c r="A79" s="295"/>
      <c r="N79" s="142"/>
      <c r="O79" s="23"/>
      <c r="S79" s="35"/>
      <c r="T79" s="86"/>
    </row>
    <row r="80" spans="11:20" ht="12.75">
      <c r="K80"/>
      <c r="N80" s="141"/>
      <c r="O80" s="23"/>
      <c r="S80" s="180"/>
      <c r="T80" s="184"/>
    </row>
    <row r="81" spans="10:21" ht="12.75">
      <c r="J81" s="1"/>
      <c r="K81"/>
      <c r="N81" s="142"/>
      <c r="O81" s="23"/>
      <c r="S81" s="156"/>
      <c r="T81" s="185"/>
      <c r="U81" s="181"/>
    </row>
    <row r="82" spans="2:21" ht="12.75">
      <c r="B82" s="155"/>
      <c r="C82" s="155"/>
      <c r="D82" s="15"/>
      <c r="E82" s="373"/>
      <c r="F82" s="373"/>
      <c r="J82" s="1"/>
      <c r="K82"/>
      <c r="S82" s="182"/>
      <c r="T82" s="154"/>
      <c r="U82" s="181"/>
    </row>
    <row r="83" spans="1:21" ht="15.75">
      <c r="A83" s="286"/>
      <c r="B83" s="261"/>
      <c r="C83" s="15"/>
      <c r="D83" s="15"/>
      <c r="E83" s="15"/>
      <c r="F83" s="15"/>
      <c r="J83" s="1"/>
      <c r="K83"/>
      <c r="S83" s="52"/>
      <c r="U83" s="183"/>
    </row>
    <row r="84" spans="1:19" ht="15.75">
      <c r="A84" s="285"/>
      <c r="B84" s="293"/>
      <c r="J84" s="1"/>
      <c r="K84"/>
      <c r="S84" s="52"/>
    </row>
    <row r="85" spans="1:19" ht="15.75">
      <c r="A85" s="261"/>
      <c r="B85" s="283"/>
      <c r="J85" s="1"/>
      <c r="K85" s="150"/>
      <c r="S85" s="52"/>
    </row>
    <row r="86" spans="1:19" ht="15.75">
      <c r="A86" s="261"/>
      <c r="B86" s="261"/>
      <c r="C86" s="2"/>
      <c r="D86" s="2"/>
      <c r="E86" s="2"/>
      <c r="F86" s="2"/>
      <c r="J86" s="1"/>
      <c r="K86"/>
      <c r="S86" s="52"/>
    </row>
    <row r="87" spans="1:19" ht="15.75">
      <c r="A87" s="287"/>
      <c r="B87" s="294"/>
      <c r="C87" s="164"/>
      <c r="D87" s="2"/>
      <c r="E87" s="2"/>
      <c r="F87" s="2"/>
      <c r="J87" s="1"/>
      <c r="K87"/>
      <c r="S87" s="52"/>
    </row>
    <row r="88" spans="1:19" ht="15.75">
      <c r="A88" s="288"/>
      <c r="B88" s="287"/>
      <c r="C88" s="2"/>
      <c r="D88" s="2"/>
      <c r="E88" s="2"/>
      <c r="J88" s="1"/>
      <c r="K88"/>
      <c r="S88" s="52"/>
    </row>
    <row r="89" spans="1:19" ht="15.75">
      <c r="A89" s="261"/>
      <c r="B89" s="261"/>
      <c r="C89" s="2"/>
      <c r="D89" s="2"/>
      <c r="E89" s="2"/>
      <c r="J89" s="1"/>
      <c r="K89"/>
      <c r="S89" s="52"/>
    </row>
    <row r="90" spans="1:19" ht="15.75">
      <c r="A90" s="287"/>
      <c r="B90" s="289"/>
      <c r="C90" s="2"/>
      <c r="D90" s="2"/>
      <c r="E90" s="2"/>
      <c r="J90" s="1"/>
      <c r="K90"/>
      <c r="S90" s="52"/>
    </row>
    <row r="91" spans="1:19" ht="15.75">
      <c r="A91" s="261"/>
      <c r="B91" s="291"/>
      <c r="C91" s="2"/>
      <c r="D91" s="2"/>
      <c r="E91" s="2"/>
      <c r="J91" s="1"/>
      <c r="K91"/>
      <c r="S91" s="52"/>
    </row>
    <row r="92" spans="1:19" ht="15.75">
      <c r="A92" s="290"/>
      <c r="B92" s="291"/>
      <c r="C92" s="2"/>
      <c r="D92" s="2"/>
      <c r="E92" s="2"/>
      <c r="J92" s="1"/>
      <c r="K92"/>
      <c r="S92" s="52"/>
    </row>
    <row r="93" spans="1:11" ht="12.75">
      <c r="A93" s="283"/>
      <c r="B93" s="292"/>
      <c r="C93" s="2"/>
      <c r="D93" s="2"/>
      <c r="E93" s="2"/>
      <c r="J93" s="1"/>
      <c r="K93"/>
    </row>
    <row r="94" spans="1:11" ht="12.75">
      <c r="A94" s="261"/>
      <c r="B94" s="291"/>
      <c r="C94" s="250"/>
      <c r="D94" s="2"/>
      <c r="E94" s="2"/>
      <c r="J94" s="1"/>
      <c r="K94"/>
    </row>
    <row r="95" spans="1:11" ht="12.75">
      <c r="A95" s="287"/>
      <c r="B95" s="289"/>
      <c r="C95" s="167"/>
      <c r="D95" s="2"/>
      <c r="E95" s="2"/>
      <c r="J95" s="1"/>
      <c r="K95"/>
    </row>
    <row r="96" spans="1:11" ht="12.75">
      <c r="A96" s="284"/>
      <c r="B96" s="171"/>
      <c r="C96" s="2"/>
      <c r="D96" s="2"/>
      <c r="E96" s="2"/>
      <c r="J96" s="1"/>
      <c r="K96"/>
    </row>
    <row r="97" spans="1:11" ht="12.75">
      <c r="A97" s="2"/>
      <c r="B97" s="171"/>
      <c r="C97" s="2"/>
      <c r="D97" s="2"/>
      <c r="E97" s="2"/>
      <c r="J97" s="1"/>
      <c r="K97"/>
    </row>
    <row r="98" spans="1:11" ht="12.75">
      <c r="A98" s="2"/>
      <c r="B98" s="171"/>
      <c r="C98" s="2"/>
      <c r="D98" s="2"/>
      <c r="E98" s="2"/>
      <c r="J98" s="1"/>
      <c r="K98"/>
    </row>
    <row r="99" spans="1:11" ht="12.75">
      <c r="A99" s="2"/>
      <c r="B99" s="2"/>
      <c r="C99" s="2"/>
      <c r="D99" s="2"/>
      <c r="E99" s="2"/>
      <c r="J99" s="1"/>
      <c r="K99"/>
    </row>
    <row r="100" spans="1:11" ht="12.75">
      <c r="A100" s="2"/>
      <c r="B100" s="2"/>
      <c r="C100" s="2"/>
      <c r="D100" s="2"/>
      <c r="E100" s="2"/>
      <c r="J100" s="1"/>
      <c r="K100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49"/>
      <c r="D103" s="2"/>
      <c r="E103" s="2"/>
    </row>
    <row r="104" spans="1:5" ht="12.75">
      <c r="A104" s="2"/>
      <c r="B104" s="2"/>
      <c r="C104" s="2"/>
      <c r="D104" s="2"/>
      <c r="E104" s="2"/>
    </row>
  </sheetData>
  <mergeCells count="3">
    <mergeCell ref="E28:F28"/>
    <mergeCell ref="K65:L65"/>
    <mergeCell ref="E82:F8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F24" sqref="F24"/>
    </sheetView>
  </sheetViews>
  <sheetFormatPr defaultColWidth="11.421875" defaultRowHeight="12.75"/>
  <cols>
    <col min="2" max="2" width="28.421875" style="0" customWidth="1"/>
    <col min="3" max="3" width="21.7109375" style="0" customWidth="1"/>
  </cols>
  <sheetData>
    <row r="2" spans="1:4" ht="12.75">
      <c r="A2" s="87"/>
      <c r="B2" s="87"/>
      <c r="C2" s="87"/>
      <c r="D2" s="87"/>
    </row>
    <row r="3" spans="1:4" ht="8.25" customHeight="1">
      <c r="A3" s="87"/>
      <c r="B3" s="87"/>
      <c r="C3" s="87"/>
      <c r="D3" s="87"/>
    </row>
    <row r="4" spans="1:4" ht="48.75" customHeight="1">
      <c r="A4" s="87"/>
      <c r="B4" s="88" t="s">
        <v>142</v>
      </c>
      <c r="C4" s="139" t="s">
        <v>192</v>
      </c>
      <c r="D4" s="87"/>
    </row>
    <row r="5" spans="1:4" ht="15.75">
      <c r="A5" s="87"/>
      <c r="B5" s="88" t="s">
        <v>175</v>
      </c>
      <c r="C5" s="90">
        <v>0.025</v>
      </c>
      <c r="D5" s="87"/>
    </row>
    <row r="6" spans="1:4" ht="15.75">
      <c r="A6" s="87"/>
      <c r="B6" s="88" t="s">
        <v>176</v>
      </c>
      <c r="C6" s="90">
        <v>0.04</v>
      </c>
      <c r="D6" s="87"/>
    </row>
    <row r="7" spans="1:4" ht="15.75">
      <c r="A7" s="87"/>
      <c r="B7" s="88" t="s">
        <v>177</v>
      </c>
      <c r="C7" s="90">
        <v>0.05</v>
      </c>
      <c r="D7" s="87"/>
    </row>
    <row r="8" spans="1:4" ht="15.75">
      <c r="A8" s="87"/>
      <c r="B8" s="88" t="s">
        <v>35</v>
      </c>
      <c r="C8" s="90">
        <v>0.98</v>
      </c>
      <c r="D8" s="87"/>
    </row>
    <row r="9" spans="1:4" ht="15.75">
      <c r="A9" s="87"/>
      <c r="B9" s="88" t="s">
        <v>193</v>
      </c>
      <c r="C9" s="90">
        <v>0.88</v>
      </c>
      <c r="D9" s="87"/>
    </row>
    <row r="10" spans="1:4" ht="15.75">
      <c r="A10" s="87"/>
      <c r="B10" s="88" t="s">
        <v>178</v>
      </c>
      <c r="C10" s="90">
        <v>0.25</v>
      </c>
      <c r="D10" s="87"/>
    </row>
    <row r="11" spans="1:4" ht="15.75">
      <c r="A11" s="87"/>
      <c r="B11" s="88" t="s">
        <v>195</v>
      </c>
      <c r="C11" s="90">
        <v>0.6</v>
      </c>
      <c r="D11" s="87"/>
    </row>
    <row r="12" spans="1:4" ht="15.75">
      <c r="A12" s="87"/>
      <c r="B12" s="88" t="s">
        <v>179</v>
      </c>
      <c r="C12" s="90">
        <v>0.27</v>
      </c>
      <c r="D12" s="87"/>
    </row>
    <row r="13" spans="1:4" ht="15.75">
      <c r="A13" s="87"/>
      <c r="B13" s="88" t="s">
        <v>180</v>
      </c>
      <c r="C13" s="90">
        <v>0.4</v>
      </c>
      <c r="D13" s="87"/>
    </row>
    <row r="14" spans="1:4" ht="15.75">
      <c r="A14" s="87"/>
      <c r="B14" s="88" t="s">
        <v>181</v>
      </c>
      <c r="C14" s="90">
        <v>0.52</v>
      </c>
      <c r="D14" s="87"/>
    </row>
    <row r="15" spans="1:4" ht="15.75">
      <c r="A15" s="87"/>
      <c r="B15" s="88" t="s">
        <v>194</v>
      </c>
      <c r="C15" s="90">
        <v>0.86</v>
      </c>
      <c r="D15" s="87"/>
    </row>
    <row r="16" spans="1:4" ht="15.75">
      <c r="A16" s="87"/>
      <c r="B16" s="88" t="s">
        <v>182</v>
      </c>
      <c r="C16" s="90">
        <v>0.6</v>
      </c>
      <c r="D16" s="87"/>
    </row>
    <row r="17" spans="1:4" ht="15.75">
      <c r="A17" s="87"/>
      <c r="B17" s="88" t="s">
        <v>183</v>
      </c>
      <c r="C17" s="90">
        <v>0.65</v>
      </c>
      <c r="D17" s="87"/>
    </row>
    <row r="18" spans="1:4" ht="15.75">
      <c r="A18" s="87"/>
      <c r="B18" s="91" t="s">
        <v>184</v>
      </c>
      <c r="C18" s="90">
        <v>0.7</v>
      </c>
      <c r="D18" s="87"/>
    </row>
    <row r="19" spans="1:4" ht="15.75">
      <c r="A19" s="87"/>
      <c r="B19" s="88" t="s">
        <v>196</v>
      </c>
      <c r="C19" s="90">
        <v>0.8</v>
      </c>
      <c r="D19" s="87"/>
    </row>
    <row r="20" spans="1:4" ht="15.75">
      <c r="A20" s="87"/>
      <c r="B20" s="88" t="s">
        <v>185</v>
      </c>
      <c r="C20" s="90">
        <v>0.82</v>
      </c>
      <c r="D20" s="87"/>
    </row>
    <row r="21" spans="1:4" ht="15.75">
      <c r="A21" s="87"/>
      <c r="B21" s="88" t="s">
        <v>186</v>
      </c>
      <c r="C21" s="90">
        <v>0.95</v>
      </c>
      <c r="D21" s="87"/>
    </row>
    <row r="22" spans="1:4" ht="15.75">
      <c r="A22" s="87"/>
      <c r="B22" s="88" t="s">
        <v>187</v>
      </c>
      <c r="C22" s="90">
        <v>1</v>
      </c>
      <c r="D22" s="87"/>
    </row>
    <row r="23" spans="1:4" ht="15.75">
      <c r="A23" s="87"/>
      <c r="B23" s="88" t="s">
        <v>153</v>
      </c>
      <c r="C23" s="90">
        <v>1.3</v>
      </c>
      <c r="D23" s="87"/>
    </row>
    <row r="24" spans="1:4" ht="15.75">
      <c r="A24" s="87"/>
      <c r="B24" s="91" t="s">
        <v>188</v>
      </c>
      <c r="C24" s="92">
        <v>1.56</v>
      </c>
      <c r="D24" s="87"/>
    </row>
    <row r="25" spans="1:4" ht="15.75">
      <c r="A25" s="87"/>
      <c r="B25" s="88" t="s">
        <v>189</v>
      </c>
      <c r="C25" s="90">
        <v>80</v>
      </c>
      <c r="D25" s="87"/>
    </row>
    <row r="26" spans="1:4" ht="15.75">
      <c r="A26" s="87"/>
      <c r="B26" s="88" t="s">
        <v>190</v>
      </c>
      <c r="C26" s="90">
        <v>237</v>
      </c>
      <c r="D26" s="87"/>
    </row>
    <row r="27" spans="1:4" ht="15.75">
      <c r="A27" s="87"/>
      <c r="B27" s="88" t="s">
        <v>191</v>
      </c>
      <c r="C27" s="90">
        <v>386</v>
      </c>
      <c r="D27" s="87"/>
    </row>
    <row r="28" spans="1:4" ht="12.75">
      <c r="A28" s="87"/>
      <c r="B28" s="87"/>
      <c r="C28" s="87"/>
      <c r="D28" s="87"/>
    </row>
    <row r="32" ht="15.75">
      <c r="B32" s="89" t="s">
        <v>143</v>
      </c>
    </row>
    <row r="33" ht="18.75">
      <c r="B33" s="89" t="s">
        <v>144</v>
      </c>
    </row>
    <row r="34" ht="15.75">
      <c r="B34" s="89" t="s">
        <v>145</v>
      </c>
    </row>
    <row r="35" ht="18.75">
      <c r="B35" s="89" t="s">
        <v>146</v>
      </c>
    </row>
    <row r="36" ht="18.75">
      <c r="B36" s="89" t="s">
        <v>147</v>
      </c>
    </row>
    <row r="37" ht="20.25">
      <c r="B37" s="89" t="s">
        <v>148</v>
      </c>
    </row>
    <row r="38" ht="15.75">
      <c r="B38" s="89" t="s">
        <v>149</v>
      </c>
    </row>
    <row r="39" ht="15.75">
      <c r="B39" s="89" t="s">
        <v>150</v>
      </c>
    </row>
    <row r="40" ht="18.75">
      <c r="B40" s="89" t="s">
        <v>151</v>
      </c>
    </row>
    <row r="41" ht="18.75">
      <c r="B41" s="89" t="s">
        <v>152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36"/>
  <sheetViews>
    <sheetView workbookViewId="0" topLeftCell="A4">
      <selection activeCell="J12" sqref="J12"/>
    </sheetView>
  </sheetViews>
  <sheetFormatPr defaultColWidth="11.421875" defaultRowHeight="12.75"/>
  <cols>
    <col min="2" max="2" width="26.57421875" style="0" customWidth="1"/>
    <col min="3" max="3" width="14.28125" style="0" customWidth="1"/>
    <col min="6" max="6" width="14.8515625" style="0" customWidth="1"/>
    <col min="7" max="7" width="13.7109375" style="0" customWidth="1"/>
    <col min="8" max="8" width="16.57421875" style="0" customWidth="1"/>
  </cols>
  <sheetData>
    <row r="4" ht="18">
      <c r="B4" s="93" t="s">
        <v>134</v>
      </c>
    </row>
    <row r="6" spans="2:8" ht="12.75">
      <c r="B6" s="20" t="s">
        <v>154</v>
      </c>
      <c r="C6" s="20"/>
      <c r="D6" s="20"/>
      <c r="E6" s="20"/>
      <c r="F6" s="20" t="s">
        <v>155</v>
      </c>
      <c r="G6" s="20"/>
      <c r="H6" s="20"/>
    </row>
    <row r="7" spans="2:9" ht="12.75">
      <c r="B7" s="94" t="s">
        <v>156</v>
      </c>
      <c r="C7" s="95" t="s">
        <v>157</v>
      </c>
      <c r="D7" s="96" t="s">
        <v>158</v>
      </c>
      <c r="E7" s="97"/>
      <c r="F7" s="98"/>
      <c r="G7" s="99" t="s">
        <v>159</v>
      </c>
      <c r="H7" s="100" t="s">
        <v>160</v>
      </c>
      <c r="I7" s="101" t="s">
        <v>160</v>
      </c>
    </row>
    <row r="8" spans="2:9" ht="15.75">
      <c r="B8" s="102" t="s">
        <v>161</v>
      </c>
      <c r="C8" s="103">
        <v>13.1</v>
      </c>
      <c r="D8" s="104">
        <f>C8*0.28</f>
        <v>3.668</v>
      </c>
      <c r="E8" s="105"/>
      <c r="F8" s="106"/>
      <c r="G8" s="99" t="s">
        <v>162</v>
      </c>
      <c r="H8" s="100" t="s">
        <v>163</v>
      </c>
      <c r="I8" s="101" t="s">
        <v>164</v>
      </c>
    </row>
    <row r="9" spans="2:9" ht="15.75" customHeight="1">
      <c r="B9" s="107" t="s">
        <v>165</v>
      </c>
      <c r="C9" s="108">
        <v>14</v>
      </c>
      <c r="D9" s="109">
        <f aca="true" t="shared" si="0" ref="D9:D17">C9*0.28</f>
        <v>3.9200000000000004</v>
      </c>
      <c r="E9" s="110"/>
      <c r="F9" s="375" t="s">
        <v>156</v>
      </c>
      <c r="G9" s="111">
        <v>0</v>
      </c>
      <c r="H9" s="112">
        <v>18.56</v>
      </c>
      <c r="I9" s="113">
        <f>H9*0.28</f>
        <v>5.1968000000000005</v>
      </c>
    </row>
    <row r="10" spans="2:9" ht="17.25" customHeight="1">
      <c r="B10" s="107" t="s">
        <v>166</v>
      </c>
      <c r="C10" s="108">
        <v>13.6</v>
      </c>
      <c r="D10" s="109">
        <f t="shared" si="0"/>
        <v>3.8080000000000003</v>
      </c>
      <c r="E10" s="114"/>
      <c r="F10" s="375"/>
      <c r="G10" s="111">
        <v>10</v>
      </c>
      <c r="H10" s="115">
        <v>16.4</v>
      </c>
      <c r="I10" s="113">
        <f aca="true" t="shared" si="1" ref="I10:I18">H10*0.28</f>
        <v>4.592</v>
      </c>
    </row>
    <row r="11" spans="2:12" ht="17.25" customHeight="1">
      <c r="B11" s="107" t="s">
        <v>167</v>
      </c>
      <c r="C11" s="108">
        <v>13.4</v>
      </c>
      <c r="D11" s="109">
        <f t="shared" si="0"/>
        <v>3.7520000000000007</v>
      </c>
      <c r="E11" s="114"/>
      <c r="F11" s="375"/>
      <c r="G11" s="111">
        <v>20</v>
      </c>
      <c r="H11" s="115">
        <v>14.28</v>
      </c>
      <c r="I11" s="113">
        <f t="shared" si="1"/>
        <v>3.9984</v>
      </c>
      <c r="J11">
        <f>(4-3.41)/10</f>
        <v>0.05899999999999998</v>
      </c>
      <c r="K11" s="116"/>
      <c r="L11" s="60"/>
    </row>
    <row r="12" spans="2:12" ht="15.75">
      <c r="B12" s="107" t="s">
        <v>168</v>
      </c>
      <c r="C12" s="108">
        <v>12.3</v>
      </c>
      <c r="D12" s="109">
        <f t="shared" si="0"/>
        <v>3.4440000000000004</v>
      </c>
      <c r="E12" s="114"/>
      <c r="F12" s="375"/>
      <c r="G12" s="111">
        <v>30</v>
      </c>
      <c r="H12" s="115">
        <v>12.18</v>
      </c>
      <c r="I12" s="113">
        <f t="shared" si="1"/>
        <v>3.4104</v>
      </c>
      <c r="J12" s="117"/>
      <c r="K12" s="118"/>
      <c r="L12" s="119"/>
    </row>
    <row r="13" spans="2:12" ht="15.75">
      <c r="B13" s="107" t="s">
        <v>169</v>
      </c>
      <c r="C13" s="108">
        <v>12.9</v>
      </c>
      <c r="D13" s="109">
        <f t="shared" si="0"/>
        <v>3.6120000000000005</v>
      </c>
      <c r="E13" s="114"/>
      <c r="F13" s="375"/>
      <c r="G13" s="111">
        <v>40</v>
      </c>
      <c r="H13" s="115">
        <v>10.1</v>
      </c>
      <c r="I13" s="113">
        <f t="shared" si="1"/>
        <v>2.8280000000000003</v>
      </c>
      <c r="J13" s="120"/>
      <c r="K13" s="121"/>
      <c r="L13" s="119"/>
    </row>
    <row r="14" spans="2:12" ht="15.75" customHeight="1">
      <c r="B14" s="107" t="s">
        <v>170</v>
      </c>
      <c r="C14" s="108">
        <v>12.8</v>
      </c>
      <c r="D14" s="109">
        <f t="shared" si="0"/>
        <v>3.5840000000000005</v>
      </c>
      <c r="E14" s="114"/>
      <c r="F14" s="375"/>
      <c r="G14" s="111">
        <v>50</v>
      </c>
      <c r="H14" s="115">
        <v>8.1</v>
      </c>
      <c r="I14" s="113">
        <f t="shared" si="1"/>
        <v>2.2680000000000002</v>
      </c>
      <c r="J14" s="122"/>
      <c r="K14" s="123"/>
      <c r="L14" s="119"/>
    </row>
    <row r="15" spans="2:12" ht="15.75">
      <c r="B15" s="107" t="s">
        <v>171</v>
      </c>
      <c r="C15" s="108">
        <v>13.5</v>
      </c>
      <c r="D15" s="109">
        <f t="shared" si="0"/>
        <v>3.7800000000000002</v>
      </c>
      <c r="E15" s="114"/>
      <c r="F15" s="376" t="s">
        <v>172</v>
      </c>
      <c r="G15" s="111">
        <v>10</v>
      </c>
      <c r="H15" s="115">
        <v>16.4</v>
      </c>
      <c r="I15" s="113">
        <f t="shared" si="1"/>
        <v>4.592</v>
      </c>
      <c r="K15" s="75"/>
      <c r="L15" s="124"/>
    </row>
    <row r="16" spans="2:9" ht="15.75" customHeight="1">
      <c r="B16" s="107" t="s">
        <v>173</v>
      </c>
      <c r="C16" s="108">
        <v>12.5</v>
      </c>
      <c r="D16" s="109">
        <f t="shared" si="0"/>
        <v>3.5000000000000004</v>
      </c>
      <c r="E16" s="114"/>
      <c r="F16" s="376"/>
      <c r="G16" s="111">
        <v>20</v>
      </c>
      <c r="H16" s="115">
        <v>14.28</v>
      </c>
      <c r="I16" s="113">
        <f t="shared" si="1"/>
        <v>3.9984</v>
      </c>
    </row>
    <row r="17" spans="2:9" ht="15.75">
      <c r="B17" s="107" t="s">
        <v>174</v>
      </c>
      <c r="C17" s="108">
        <v>13.2</v>
      </c>
      <c r="D17" s="109">
        <f t="shared" si="0"/>
        <v>3.696</v>
      </c>
      <c r="E17" s="114"/>
      <c r="F17" s="376"/>
      <c r="G17" s="111">
        <v>30</v>
      </c>
      <c r="H17" s="115">
        <v>12.18</v>
      </c>
      <c r="I17" s="113">
        <f t="shared" si="1"/>
        <v>3.4104</v>
      </c>
    </row>
    <row r="18" spans="2:9" ht="12.75">
      <c r="B18" s="125"/>
      <c r="C18" s="126"/>
      <c r="D18" s="127"/>
      <c r="E18" s="128"/>
      <c r="F18" s="376"/>
      <c r="G18" s="129">
        <v>40</v>
      </c>
      <c r="H18" s="130">
        <v>10.1</v>
      </c>
      <c r="I18" s="131">
        <f t="shared" si="1"/>
        <v>2.8280000000000003</v>
      </c>
    </row>
    <row r="20" ht="15.75" customHeight="1"/>
    <row r="22" ht="15.75" customHeight="1"/>
    <row r="23" spans="2:8" ht="12.75">
      <c r="B23" s="65"/>
      <c r="C23" s="132"/>
      <c r="F23" s="116" t="s">
        <v>212</v>
      </c>
      <c r="G23" s="60" t="s">
        <v>213</v>
      </c>
      <c r="H23" t="s">
        <v>214</v>
      </c>
    </row>
    <row r="24" spans="2:8" ht="15.75">
      <c r="B24" s="133" t="s">
        <v>134</v>
      </c>
      <c r="C24" s="134"/>
      <c r="F24" s="135" t="s">
        <v>215</v>
      </c>
      <c r="G24" s="309">
        <v>3700</v>
      </c>
      <c r="H24" s="2">
        <f>G24*1.163</f>
        <v>4303.1</v>
      </c>
    </row>
    <row r="25" spans="2:8" ht="15.75">
      <c r="B25" s="69" t="s">
        <v>135</v>
      </c>
      <c r="C25" s="70">
        <v>3.4</v>
      </c>
      <c r="F25" s="135" t="s">
        <v>216</v>
      </c>
      <c r="G25" s="310">
        <v>4900</v>
      </c>
      <c r="H25" s="2">
        <v>5500</v>
      </c>
    </row>
    <row r="26" spans="2:8" ht="12.75" customHeight="1">
      <c r="B26" s="69" t="s">
        <v>136</v>
      </c>
      <c r="C26" s="136">
        <v>12</v>
      </c>
      <c r="F26" s="137" t="s">
        <v>217</v>
      </c>
      <c r="G26" s="310">
        <v>6900</v>
      </c>
      <c r="H26" s="2">
        <f>G26*1.163</f>
        <v>8024.7</v>
      </c>
    </row>
    <row r="27" spans="2:8" ht="12.75">
      <c r="B27" s="69" t="s">
        <v>137</v>
      </c>
      <c r="C27" s="138">
        <f>C25*C26</f>
        <v>40.8</v>
      </c>
      <c r="F27" s="75" t="s">
        <v>218</v>
      </c>
      <c r="G27" s="311">
        <v>7000</v>
      </c>
      <c r="H27" s="2">
        <f>G27*1.163</f>
        <v>8141</v>
      </c>
    </row>
    <row r="28" spans="2:3" ht="12.75">
      <c r="B28" s="69" t="s">
        <v>138</v>
      </c>
      <c r="C28" s="70">
        <v>0.78</v>
      </c>
    </row>
    <row r="29" spans="2:3" ht="12.75">
      <c r="B29" s="69" t="s">
        <v>139</v>
      </c>
      <c r="C29" s="76">
        <v>8</v>
      </c>
    </row>
    <row r="30" spans="2:3" ht="12.75">
      <c r="B30" s="78" t="s">
        <v>140</v>
      </c>
      <c r="C30" s="79">
        <f>C27/(C29*C28)</f>
        <v>6.538461538461537</v>
      </c>
    </row>
    <row r="31" ht="15.75" customHeight="1">
      <c r="B31" s="80" t="s">
        <v>141</v>
      </c>
    </row>
    <row r="33" ht="12.75">
      <c r="B33" s="20"/>
    </row>
    <row r="36" ht="12.75">
      <c r="B36" s="20"/>
    </row>
  </sheetData>
  <mergeCells count="2">
    <mergeCell ref="F9:F14"/>
    <mergeCell ref="F15:F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2011-04-20T19:50:12Z</dcterms:created>
  <dcterms:modified xsi:type="dcterms:W3CDTF">2012-04-11T11:09:13Z</dcterms:modified>
  <cp:category/>
  <cp:version/>
  <cp:contentType/>
  <cp:contentStatus/>
</cp:coreProperties>
</file>